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coTúlio\Google Drive\KETER HP\Núcleo GENES\Aplicativo GENES\"/>
    </mc:Choice>
  </mc:AlternateContent>
  <bookViews>
    <workbookView xWindow="0" yWindow="0" windowWidth="20490" windowHeight="8115" tabRatio="500" xr2:uid="{00000000-000D-0000-FFFF-FFFF00000000}"/>
  </bookViews>
  <sheets>
    <sheet name="Faturamento" sheetId="15" r:id="rId1"/>
    <sheet name="Impostos" sheetId="14" r:id="rId2"/>
    <sheet name="Insumos" sheetId="16" r:id="rId3"/>
    <sheet name="Pessoal" sheetId="17" r:id="rId4"/>
    <sheet name="Despesas" sheetId="19" r:id="rId5"/>
    <sheet name="Caixa" sheetId="18" r:id="rId6"/>
    <sheet name="Precificação" sheetId="13" r:id="rId7"/>
    <sheet name="Desenvolvedor" sheetId="20" r:id="rId8"/>
    <sheet name="Procedimentos" sheetId="1" state="hidden" r:id="rId9"/>
  </sheets>
  <definedNames>
    <definedName name="_xlnm.Print_Area" localSheetId="5">Caixa!$A$1:$I$18</definedName>
    <definedName name="_xlnm.Print_Area" localSheetId="4">Despesas!$A$1:$B$19</definedName>
    <definedName name="_xlnm.Print_Area" localSheetId="0">Faturamento!$A$1:$I$31</definedName>
    <definedName name="_xlnm.Print_Area" localSheetId="1">Impostos!$A$1:$I$12</definedName>
    <definedName name="_xlnm.Print_Area" localSheetId="2">Insumos!#REF!</definedName>
    <definedName name="_xlnm.Print_Area" localSheetId="3">Pessoal!$A$1:$J$18</definedName>
    <definedName name="_xlnm.Print_Area" localSheetId="6">Precificação!$A$1:$H$14</definedName>
  </definedNames>
  <calcPr calcId="171027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7" l="1"/>
  <c r="F31" i="15"/>
  <c r="H11" i="15" l="1"/>
  <c r="G6" i="15"/>
  <c r="H6" i="15"/>
  <c r="I5" i="15"/>
  <c r="E6" i="15"/>
  <c r="D4" i="15"/>
  <c r="B19" i="19" l="1"/>
  <c r="D11" i="14"/>
  <c r="C11" i="14"/>
  <c r="J4" i="17"/>
  <c r="J5" i="17"/>
  <c r="B14" i="13"/>
  <c r="B13" i="13"/>
  <c r="B12" i="13"/>
  <c r="B11" i="13"/>
  <c r="J15" i="17"/>
  <c r="J14" i="17"/>
  <c r="J11" i="17"/>
  <c r="J10" i="17"/>
  <c r="J9" i="17"/>
  <c r="J7" i="17"/>
  <c r="B8" i="17"/>
  <c r="J8" i="17" s="1"/>
  <c r="B6" i="17"/>
  <c r="J6" i="17" s="1"/>
  <c r="J12" i="17" s="1"/>
  <c r="J18" i="17" s="1"/>
  <c r="B6" i="15"/>
  <c r="G14" i="13" s="1"/>
  <c r="F5" i="15"/>
  <c r="F5" i="16" s="1"/>
  <c r="D5" i="15"/>
  <c r="D5" i="16" s="1"/>
  <c r="C5" i="15"/>
  <c r="C5" i="16" s="1"/>
  <c r="B5" i="15"/>
  <c r="D11" i="15" s="1"/>
  <c r="F11" i="15"/>
  <c r="H4" i="15"/>
  <c r="H4" i="16" s="1"/>
  <c r="F4" i="15"/>
  <c r="F4" i="16" s="1"/>
  <c r="D4" i="16"/>
  <c r="B4" i="15"/>
  <c r="I3" i="15"/>
  <c r="I3" i="16" s="1"/>
  <c r="H3" i="15"/>
  <c r="H3" i="16" s="1"/>
  <c r="G3" i="15"/>
  <c r="G3" i="16" s="1"/>
  <c r="F3" i="15"/>
  <c r="F3" i="16" s="1"/>
  <c r="E3" i="15"/>
  <c r="E3" i="16" s="1"/>
  <c r="D3" i="15"/>
  <c r="D3" i="16" s="1"/>
  <c r="C3" i="15"/>
  <c r="C3" i="16" s="1"/>
  <c r="B3" i="15"/>
  <c r="I9" i="15" s="1"/>
  <c r="W5" i="1"/>
  <c r="W4" i="1"/>
  <c r="I4" i="15" s="1"/>
  <c r="T5" i="1"/>
  <c r="H5" i="15" s="1"/>
  <c r="T6" i="1"/>
  <c r="T4" i="1"/>
  <c r="Q5" i="1"/>
  <c r="G5" i="15" s="1"/>
  <c r="Q4" i="1"/>
  <c r="G4" i="15" s="1"/>
  <c r="N5" i="1"/>
  <c r="N6" i="1"/>
  <c r="F6" i="15" s="1"/>
  <c r="N4" i="1"/>
  <c r="K5" i="1"/>
  <c r="E5" i="15" s="1"/>
  <c r="K4" i="1"/>
  <c r="E4" i="15" s="1"/>
  <c r="H5" i="1"/>
  <c r="H6" i="1"/>
  <c r="D6" i="15" s="1"/>
  <c r="H4" i="1"/>
  <c r="E6" i="1"/>
  <c r="C6" i="15" s="1"/>
  <c r="E5" i="1"/>
  <c r="E4" i="1"/>
  <c r="C4" i="15" s="1"/>
  <c r="J16" i="17"/>
  <c r="B12" i="15"/>
  <c r="H10" i="15"/>
  <c r="D18" i="15"/>
  <c r="H18" i="15"/>
  <c r="E9" i="15"/>
  <c r="F29" i="15"/>
  <c r="F27" i="15"/>
  <c r="F11" i="14" s="1"/>
  <c r="E27" i="15"/>
  <c r="E11" i="14" s="1"/>
  <c r="H27" i="15"/>
  <c r="H11" i="14" s="1"/>
  <c r="F9" i="15"/>
  <c r="F4" i="14" s="1"/>
  <c r="B10" i="15"/>
  <c r="F10" i="15"/>
  <c r="B11" i="15"/>
  <c r="E29" i="15"/>
  <c r="H29" i="15"/>
  <c r="C9" i="15"/>
  <c r="C4" i="14" s="1"/>
  <c r="G9" i="15"/>
  <c r="C11" i="15"/>
  <c r="F18" i="15"/>
  <c r="F3" i="1"/>
  <c r="C40" i="1"/>
  <c r="C42" i="1" s="1"/>
  <c r="B42" i="1" s="1"/>
  <c r="B17" i="1"/>
  <c r="R47" i="1"/>
  <c r="I47" i="1"/>
  <c r="I43" i="1"/>
  <c r="I44" i="1"/>
  <c r="I45" i="1" s="1"/>
  <c r="R50" i="1"/>
  <c r="B41" i="1"/>
  <c r="C45" i="1"/>
  <c r="C47" i="1" s="1"/>
  <c r="B47" i="1" s="1"/>
  <c r="B46" i="1"/>
  <c r="B52" i="1"/>
  <c r="B53" i="1"/>
  <c r="B66" i="1"/>
  <c r="B74" i="1"/>
  <c r="G4" i="1"/>
  <c r="G5" i="1"/>
  <c r="G6" i="1"/>
  <c r="G3" i="1"/>
  <c r="J4" i="1"/>
  <c r="J5" i="1"/>
  <c r="J6" i="1"/>
  <c r="J3" i="1"/>
  <c r="M4" i="1"/>
  <c r="M5" i="1"/>
  <c r="M3" i="1"/>
  <c r="P4" i="1"/>
  <c r="P5" i="1"/>
  <c r="P6" i="1"/>
  <c r="P3" i="1"/>
  <c r="S4" i="1"/>
  <c r="S5" i="1"/>
  <c r="S3" i="1"/>
  <c r="V4" i="1"/>
  <c r="V5" i="1"/>
  <c r="V6" i="1"/>
  <c r="V3" i="1"/>
  <c r="Y4" i="1"/>
  <c r="Y5" i="1"/>
  <c r="Y3" i="1"/>
  <c r="I4" i="1"/>
  <c r="I5" i="1"/>
  <c r="I6" i="1"/>
  <c r="I3" i="1"/>
  <c r="I25" i="1"/>
  <c r="I26" i="1"/>
  <c r="I27" i="1"/>
  <c r="I28" i="1"/>
  <c r="L3" i="1"/>
  <c r="L4" i="1"/>
  <c r="L5" i="1"/>
  <c r="L25" i="1"/>
  <c r="L26" i="1"/>
  <c r="L27" i="1"/>
  <c r="O3" i="1"/>
  <c r="O4" i="1"/>
  <c r="O5" i="1"/>
  <c r="O6" i="1"/>
  <c r="O25" i="1"/>
  <c r="O30" i="1" s="1"/>
  <c r="O26" i="1"/>
  <c r="O27" i="1"/>
  <c r="O28" i="1"/>
  <c r="R3" i="1"/>
  <c r="R4" i="1"/>
  <c r="R5" i="1"/>
  <c r="R25" i="1"/>
  <c r="R26" i="1"/>
  <c r="R27" i="1"/>
  <c r="U3" i="1"/>
  <c r="U4" i="1"/>
  <c r="U5" i="1"/>
  <c r="U6" i="1"/>
  <c r="U25" i="1"/>
  <c r="U26" i="1"/>
  <c r="U27" i="1"/>
  <c r="U28" i="1"/>
  <c r="X3" i="1"/>
  <c r="X4" i="1"/>
  <c r="X5" i="1"/>
  <c r="X25" i="1"/>
  <c r="X26" i="1"/>
  <c r="X27" i="1"/>
  <c r="F4" i="1"/>
  <c r="F5" i="1"/>
  <c r="F6" i="1"/>
  <c r="F25" i="1"/>
  <c r="F26" i="1"/>
  <c r="F27" i="1"/>
  <c r="F28" i="1"/>
  <c r="A26" i="1"/>
  <c r="A27" i="1"/>
  <c r="A28" i="1"/>
  <c r="A25" i="1"/>
  <c r="U30" i="1"/>
  <c r="V8" i="1"/>
  <c r="V9" i="1"/>
  <c r="P8" i="1"/>
  <c r="P9" i="1" s="1"/>
  <c r="I30" i="1"/>
  <c r="J8" i="1"/>
  <c r="J9" i="1" s="1"/>
  <c r="F30" i="1"/>
  <c r="G8" i="1"/>
  <c r="G9" i="1" s="1"/>
  <c r="I8" i="1"/>
  <c r="I16" i="1"/>
  <c r="F8" i="1"/>
  <c r="U8" i="1"/>
  <c r="O8" i="1"/>
  <c r="I15" i="1"/>
  <c r="U15" i="1"/>
  <c r="U14" i="1"/>
  <c r="U16" i="1"/>
  <c r="U17" i="1"/>
  <c r="U18" i="1"/>
  <c r="O15" i="1"/>
  <c r="O17" i="1"/>
  <c r="O18" i="1"/>
  <c r="F15" i="1"/>
  <c r="F16" i="1"/>
  <c r="F17" i="1"/>
  <c r="F14" i="1"/>
  <c r="F18" i="1"/>
  <c r="U20" i="1"/>
  <c r="U34" i="1" s="1"/>
  <c r="E10" i="15" l="1"/>
  <c r="F3" i="14"/>
  <c r="F5" i="14" s="1"/>
  <c r="H5" i="16"/>
  <c r="E4" i="16"/>
  <c r="E18" i="15"/>
  <c r="H20" i="15"/>
  <c r="I25" i="15"/>
  <c r="H12" i="15"/>
  <c r="H3" i="14" s="1"/>
  <c r="H6" i="16"/>
  <c r="E5" i="16"/>
  <c r="E11" i="15"/>
  <c r="E4" i="14" s="1"/>
  <c r="G29" i="15"/>
  <c r="G18" i="15"/>
  <c r="G10" i="15"/>
  <c r="G4" i="16"/>
  <c r="C4" i="16"/>
  <c r="C18" i="15"/>
  <c r="C10" i="15"/>
  <c r="E25" i="15"/>
  <c r="D12" i="15"/>
  <c r="D6" i="16"/>
  <c r="D20" i="15"/>
  <c r="G5" i="16"/>
  <c r="G11" i="15"/>
  <c r="I29" i="15"/>
  <c r="I4" i="16"/>
  <c r="I18" i="15"/>
  <c r="I10" i="15"/>
  <c r="D7" i="16"/>
  <c r="D8" i="18" s="1"/>
  <c r="H7" i="16"/>
  <c r="H8" i="18" s="1"/>
  <c r="B3" i="13"/>
  <c r="B6" i="13" s="1"/>
  <c r="D12" i="13" s="1"/>
  <c r="G4" i="14"/>
  <c r="C12" i="15"/>
  <c r="C20" i="15"/>
  <c r="C6" i="16"/>
  <c r="D25" i="15"/>
  <c r="D31" i="15" s="1"/>
  <c r="D4" i="18" s="1"/>
  <c r="D7" i="18" s="1"/>
  <c r="C7" i="16"/>
  <c r="C8" i="18" s="1"/>
  <c r="F20" i="1"/>
  <c r="F34" i="1" s="1"/>
  <c r="O16" i="1"/>
  <c r="O14" i="1"/>
  <c r="O20" i="1" s="1"/>
  <c r="O34" i="1" s="1"/>
  <c r="I14" i="1"/>
  <c r="I20" i="1" s="1"/>
  <c r="I34" i="1" s="1"/>
  <c r="I17" i="1"/>
  <c r="I18" i="1"/>
  <c r="F6" i="16"/>
  <c r="F7" i="16" s="1"/>
  <c r="F8" i="18" s="1"/>
  <c r="F20" i="15"/>
  <c r="G25" i="15"/>
  <c r="I5" i="16"/>
  <c r="I11" i="15"/>
  <c r="G13" i="13"/>
  <c r="D10" i="14"/>
  <c r="D12" i="14" s="1"/>
  <c r="D5" i="18" s="1"/>
  <c r="B45" i="1"/>
  <c r="D9" i="15"/>
  <c r="D10" i="15"/>
  <c r="D3" i="14" s="1"/>
  <c r="K6" i="1"/>
  <c r="W6" i="1"/>
  <c r="G12" i="13"/>
  <c r="I42" i="1"/>
  <c r="I52" i="1" s="1"/>
  <c r="I54" i="1" s="1"/>
  <c r="I55" i="1" s="1"/>
  <c r="B55" i="1" s="1"/>
  <c r="G11" i="13"/>
  <c r="B40" i="1"/>
  <c r="B9" i="15"/>
  <c r="I27" i="15"/>
  <c r="I11" i="14" s="1"/>
  <c r="H9" i="15"/>
  <c r="G27" i="15"/>
  <c r="G11" i="14" s="1"/>
  <c r="Q6" i="1"/>
  <c r="F12" i="15"/>
  <c r="F13" i="15" s="1"/>
  <c r="F3" i="18" s="1"/>
  <c r="D10" i="18" l="1"/>
  <c r="B58" i="1"/>
  <c r="M6" i="1"/>
  <c r="M8" i="1" s="1"/>
  <c r="M9" i="1" s="1"/>
  <c r="L6" i="1"/>
  <c r="L8" i="1" s="1"/>
  <c r="L28" i="1"/>
  <c r="L30" i="1" s="1"/>
  <c r="I4" i="14"/>
  <c r="C10" i="14"/>
  <c r="C12" i="14" s="1"/>
  <c r="C5" i="18" s="1"/>
  <c r="C31" i="15"/>
  <c r="C4" i="18" s="1"/>
  <c r="C7" i="18" s="1"/>
  <c r="C10" i="18" s="1"/>
  <c r="C16" i="18" s="1"/>
  <c r="C18" i="18" s="1"/>
  <c r="D11" i="18" s="1"/>
  <c r="D16" i="18" s="1"/>
  <c r="D18" i="18" s="1"/>
  <c r="E11" i="18" s="1"/>
  <c r="S6" i="1"/>
  <c r="S8" i="1" s="1"/>
  <c r="S9" i="1" s="1"/>
  <c r="R28" i="1"/>
  <c r="R30" i="1" s="1"/>
  <c r="R6" i="1"/>
  <c r="R8" i="1" s="1"/>
  <c r="D13" i="15"/>
  <c r="D3" i="18" s="1"/>
  <c r="D4" i="14"/>
  <c r="D11" i="13"/>
  <c r="E11" i="13" s="1"/>
  <c r="F11" i="13" s="1"/>
  <c r="E12" i="13"/>
  <c r="F12" i="13" s="1"/>
  <c r="H12" i="13" s="1"/>
  <c r="D13" i="13"/>
  <c r="E13" i="13" s="1"/>
  <c r="F13" i="13" s="1"/>
  <c r="H13" i="13" s="1"/>
  <c r="D14" i="13"/>
  <c r="E14" i="13" s="1"/>
  <c r="F14" i="13" s="1"/>
  <c r="H14" i="13" s="1"/>
  <c r="I6" i="15"/>
  <c r="Y6" i="1"/>
  <c r="Y8" i="1" s="1"/>
  <c r="Y9" i="1" s="1"/>
  <c r="X6" i="1"/>
  <c r="X8" i="1" s="1"/>
  <c r="X28" i="1"/>
  <c r="X30" i="1" s="1"/>
  <c r="C3" i="14"/>
  <c r="C5" i="14" s="1"/>
  <c r="C13" i="15"/>
  <c r="C3" i="18" s="1"/>
  <c r="H4" i="14"/>
  <c r="H5" i="14" s="1"/>
  <c r="H13" i="15"/>
  <c r="H3" i="18" s="1"/>
  <c r="H11" i="13"/>
  <c r="D5" i="14"/>
  <c r="E6" i="16" l="1"/>
  <c r="E7" i="16" s="1"/>
  <c r="E8" i="18" s="1"/>
  <c r="E20" i="15"/>
  <c r="F25" i="15"/>
  <c r="E12" i="15"/>
  <c r="I6" i="16"/>
  <c r="I7" i="16" s="1"/>
  <c r="I8" i="18" s="1"/>
  <c r="I20" i="15"/>
  <c r="I12" i="15"/>
  <c r="R15" i="1"/>
  <c r="R18" i="1"/>
  <c r="R14" i="1"/>
  <c r="R17" i="1"/>
  <c r="R16" i="1"/>
  <c r="L15" i="1"/>
  <c r="L18" i="1"/>
  <c r="L17" i="1"/>
  <c r="L16" i="1"/>
  <c r="L14" i="1"/>
  <c r="X14" i="1"/>
  <c r="X20" i="1" s="1"/>
  <c r="X34" i="1" s="1"/>
  <c r="X15" i="1"/>
  <c r="X18" i="1"/>
  <c r="X16" i="1"/>
  <c r="X17" i="1"/>
  <c r="G12" i="15"/>
  <c r="G6" i="16"/>
  <c r="G7" i="16" s="1"/>
  <c r="G8" i="18" s="1"/>
  <c r="G20" i="15"/>
  <c r="H25" i="15"/>
  <c r="B9" i="1"/>
  <c r="E13" i="15" l="1"/>
  <c r="E3" i="18" s="1"/>
  <c r="E3" i="14"/>
  <c r="E5" i="14" s="1"/>
  <c r="L20" i="1"/>
  <c r="L34" i="1" s="1"/>
  <c r="G13" i="15"/>
  <c r="G3" i="18" s="1"/>
  <c r="G3" i="14"/>
  <c r="G5" i="14" s="1"/>
  <c r="R20" i="1"/>
  <c r="R34" i="1" s="1"/>
  <c r="I10" i="14"/>
  <c r="I12" i="14" s="1"/>
  <c r="I5" i="18" s="1"/>
  <c r="I31" i="15"/>
  <c r="I4" i="18" s="1"/>
  <c r="E10" i="14"/>
  <c r="E12" i="14" s="1"/>
  <c r="E5" i="18" s="1"/>
  <c r="E31" i="15"/>
  <c r="E4" i="18" s="1"/>
  <c r="E7" i="18" s="1"/>
  <c r="E10" i="18" s="1"/>
  <c r="E16" i="18" s="1"/>
  <c r="E18" i="18" s="1"/>
  <c r="F11" i="18" s="1"/>
  <c r="G31" i="15"/>
  <c r="G4" i="18" s="1"/>
  <c r="G10" i="14"/>
  <c r="G12" i="14" s="1"/>
  <c r="G5" i="18" s="1"/>
  <c r="I3" i="14"/>
  <c r="I5" i="14" s="1"/>
  <c r="I13" i="15"/>
  <c r="I3" i="18" s="1"/>
  <c r="F10" i="14"/>
  <c r="F12" i="14" s="1"/>
  <c r="F5" i="18" s="1"/>
  <c r="F4" i="18"/>
  <c r="H10" i="14"/>
  <c r="H12" i="14" s="1"/>
  <c r="H5" i="18" s="1"/>
  <c r="H31" i="15"/>
  <c r="H4" i="18" s="1"/>
  <c r="H7" i="18" s="1"/>
  <c r="H10" i="18" s="1"/>
  <c r="I7" i="18" l="1"/>
  <c r="I10" i="18" s="1"/>
  <c r="F7" i="18"/>
  <c r="F10" i="18" s="1"/>
  <c r="F16" i="18" s="1"/>
  <c r="F18" i="18" s="1"/>
  <c r="G11" i="18" s="1"/>
  <c r="G7" i="18"/>
  <c r="G10" i="18" s="1"/>
  <c r="G16" i="18" l="1"/>
  <c r="G18" i="18" s="1"/>
  <c r="H11" i="18" s="1"/>
  <c r="H16" i="18" s="1"/>
  <c r="H18" i="18" s="1"/>
  <c r="I11" i="18" s="1"/>
  <c r="I16" i="18" s="1"/>
  <c r="I18" i="18" s="1"/>
</calcChain>
</file>

<file path=xl/sharedStrings.xml><?xml version="1.0" encoding="utf-8"?>
<sst xmlns="http://schemas.openxmlformats.org/spreadsheetml/2006/main" count="345" uniqueCount="177">
  <si>
    <t>Horas</t>
  </si>
  <si>
    <t>Horas/mês</t>
  </si>
  <si>
    <t>Taxa de ocupação</t>
  </si>
  <si>
    <t>Aluguel + Condomínio + IPTU</t>
  </si>
  <si>
    <t>Internet + Telefone fixo + TV</t>
  </si>
  <si>
    <t>Telefone celular</t>
  </si>
  <si>
    <t>Contador</t>
  </si>
  <si>
    <t>CEMIG</t>
  </si>
  <si>
    <t>Anuidade ABO</t>
  </si>
  <si>
    <t>Anuidade CRO</t>
  </si>
  <si>
    <t>Despesas Administrativas</t>
  </si>
  <si>
    <t>Folha + Encargos sobre folha</t>
  </si>
  <si>
    <t>Vale transporte ASB</t>
  </si>
  <si>
    <t>Vale transporte Secretária</t>
  </si>
  <si>
    <t>Tabela de Preços</t>
  </si>
  <si>
    <t>Mês 1</t>
  </si>
  <si>
    <t>Mês 2</t>
  </si>
  <si>
    <t>Mês 3</t>
  </si>
  <si>
    <t>Mês 4</t>
  </si>
  <si>
    <t>Mês 5</t>
  </si>
  <si>
    <t>Mês 6</t>
  </si>
  <si>
    <t>Mês 7</t>
  </si>
  <si>
    <t>Quant</t>
  </si>
  <si>
    <t>Valor Total</t>
  </si>
  <si>
    <t>Taxa de Ocupação</t>
  </si>
  <si>
    <t>Materiais</t>
  </si>
  <si>
    <t>FATURAMENTO</t>
  </si>
  <si>
    <t>MARGEM DE CONTRIBUIÇÃO</t>
  </si>
  <si>
    <t>LUCRO OPERACIONAL</t>
  </si>
  <si>
    <t>Valor</t>
  </si>
  <si>
    <t>Salário ASB</t>
  </si>
  <si>
    <t>Salário Secretária</t>
  </si>
  <si>
    <t>Alíquota</t>
  </si>
  <si>
    <t>IMPOSTOS - LUCRO PRESUMIDO</t>
  </si>
  <si>
    <t>PIS</t>
  </si>
  <si>
    <t>COFINS</t>
  </si>
  <si>
    <t>Contribuição Social sobre Lucro Líquido (CSLL)</t>
  </si>
  <si>
    <t>Imposto de Renda Retido na Fonte (IRRF)</t>
  </si>
  <si>
    <t>Alíquotas</t>
  </si>
  <si>
    <t>CUSTO DO SERVIÇO PRESTADO</t>
  </si>
  <si>
    <t>FGTS</t>
  </si>
  <si>
    <t>PROVISÕES</t>
  </si>
  <si>
    <t>13 terceiro</t>
  </si>
  <si>
    <t>Férias</t>
  </si>
  <si>
    <t>1/3 Férias</t>
  </si>
  <si>
    <t>ENCARGOS</t>
  </si>
  <si>
    <t>Multa</t>
  </si>
  <si>
    <t>INSS P.</t>
  </si>
  <si>
    <t>Encarg. s/ Prov</t>
  </si>
  <si>
    <t>Total Encargos</t>
  </si>
  <si>
    <t>Provisões (13o e férias)</t>
  </si>
  <si>
    <t>Encargos sobre provisões</t>
  </si>
  <si>
    <t>Encargos sobre salário</t>
  </si>
  <si>
    <t>Desconto Vale Transporte ASB</t>
  </si>
  <si>
    <t>Desconto Vale transporte Secretária</t>
  </si>
  <si>
    <t>TOTAL</t>
  </si>
  <si>
    <t>ISSQN</t>
  </si>
  <si>
    <t>RECEITA LÍQUIDA</t>
  </si>
  <si>
    <t>DESPESAS FINANCEIRAS</t>
  </si>
  <si>
    <t>RECEITAS FINANCEIRAS</t>
  </si>
  <si>
    <t>OUTRAS DESPESAS NÃO OPERACIONAIS</t>
  </si>
  <si>
    <t>OUTRAS RECEITAS NÃO OPERACIONAIS</t>
  </si>
  <si>
    <t>LUCRO LÍQUIDO</t>
  </si>
  <si>
    <t>Pró-labore profissional (antecipação de lucros)</t>
  </si>
  <si>
    <t>Horas disponíveis</t>
  </si>
  <si>
    <t>CUSTO INSUMOS</t>
  </si>
  <si>
    <t>Margem de lucro desejada</t>
  </si>
  <si>
    <t>IMPOSTOS</t>
  </si>
  <si>
    <t>FOLHA + ENCARGOS</t>
  </si>
  <si>
    <t>VALORES</t>
  </si>
  <si>
    <t>ALÍQUOTAS</t>
  </si>
  <si>
    <t>MÊS 1</t>
  </si>
  <si>
    <t>MÊS 2</t>
  </si>
  <si>
    <t>MÊS 3</t>
  </si>
  <si>
    <t>MÊS 4</t>
  </si>
  <si>
    <t>MÊS 5</t>
  </si>
  <si>
    <t>MÊS 6</t>
  </si>
  <si>
    <t>MÊS 7</t>
  </si>
  <si>
    <t>VALOR TOTAL MÊS 1</t>
  </si>
  <si>
    <t>VALOR TOTAL MÊS 2</t>
  </si>
  <si>
    <t>VALOR TOTAL MÊS 3</t>
  </si>
  <si>
    <t>VALOR TOTAL MÊS 4</t>
  </si>
  <si>
    <t>VALOR TOTAL MÊS 5</t>
  </si>
  <si>
    <t>VALOR TOTAL MÊS 6</t>
  </si>
  <si>
    <t>VALOR TOTAL MÊS 7</t>
  </si>
  <si>
    <t>Custo por hora</t>
  </si>
  <si>
    <t>CUSTO DOS SERVIÇOS PRESTADOS</t>
  </si>
  <si>
    <t>HORAS GASTAS</t>
  </si>
  <si>
    <t>Insalubridade</t>
  </si>
  <si>
    <t>Periculosidade</t>
  </si>
  <si>
    <t>Coleta de lixo hospitalar</t>
  </si>
  <si>
    <t>Manutenção de equipamentos</t>
  </si>
  <si>
    <t>Faxineira/limpeza</t>
  </si>
  <si>
    <t>Material de limpeza</t>
  </si>
  <si>
    <t>Tarifas bancárias (manutenção de conta corrente)</t>
  </si>
  <si>
    <t>Material de escritório</t>
  </si>
  <si>
    <t>Valor líquido pró labore</t>
  </si>
  <si>
    <t>dividir por 0,89</t>
  </si>
  <si>
    <t>Valor declarado</t>
  </si>
  <si>
    <t>Pró labore líquido profissional</t>
  </si>
  <si>
    <t>Desconto Vale Transporte Secretária</t>
  </si>
  <si>
    <t>QUANT MÊS 1</t>
  </si>
  <si>
    <t>QUANT MÊS 2</t>
  </si>
  <si>
    <t>QUANT MÊS 3</t>
  </si>
  <si>
    <t>QUANT MÊS 4</t>
  </si>
  <si>
    <t>QUANT MÊS 5</t>
  </si>
  <si>
    <t>QUANT MÊS 6</t>
  </si>
  <si>
    <t>QUANT MÊS 7</t>
  </si>
  <si>
    <t>RECEBIMENTOS À VISTA</t>
  </si>
  <si>
    <t>RECEBIMENTOS EM 30 DIAS</t>
  </si>
  <si>
    <t>Vale alimentação Secretária</t>
  </si>
  <si>
    <t>Anuidade Associação (reserva mensal)</t>
  </si>
  <si>
    <t>Anuidade Conselho (reserva mensal)</t>
  </si>
  <si>
    <t>Atualização</t>
  </si>
  <si>
    <t>Depreciação</t>
  </si>
  <si>
    <t>RESULTADO ACUMULADO</t>
  </si>
  <si>
    <t>VALOR ORIGINAL</t>
  </si>
  <si>
    <t>Faturamento do mês</t>
  </si>
  <si>
    <t>40h semanais</t>
  </si>
  <si>
    <t>CHT = CR/HT*TO</t>
  </si>
  <si>
    <t>INSS PF</t>
  </si>
  <si>
    <t>Consultas de Convênio</t>
  </si>
  <si>
    <t>Consultas Particulares</t>
  </si>
  <si>
    <t>Procedimento BC/CD</t>
  </si>
  <si>
    <t>Procedimento AC/LD</t>
  </si>
  <si>
    <t>RECEBIMENTOS EM 60 DIAS</t>
  </si>
  <si>
    <t>FAT MÊS 1</t>
  </si>
  <si>
    <t>FAT MÊS 2</t>
  </si>
  <si>
    <t>FAT MÊS 3</t>
  </si>
  <si>
    <t>FAT MÊS 4</t>
  </si>
  <si>
    <t>FAT MÊS 5</t>
  </si>
  <si>
    <t>FAT MÊS 6</t>
  </si>
  <si>
    <t>FAT MÊS 7</t>
  </si>
  <si>
    <t>IRPF + ISSQN</t>
  </si>
  <si>
    <t>FOLHA 3 - IMPOSTOS SOBRE O FATURAMENTO - Competência (DRE)</t>
  </si>
  <si>
    <t>FOLHA 3 - IMPOSTOS SOBRE O FATURAMENTO - Fluxo de Caixa</t>
  </si>
  <si>
    <t>FOLHA 2 - FATURAMENTO - Fluxo de Caixa</t>
  </si>
  <si>
    <t>FOLHA 1 - FATURAMENTO - Competência (DRE)</t>
  </si>
  <si>
    <t>FOLHA 4 - CÁLCULO DO CUSTO DE INSUMOS</t>
  </si>
  <si>
    <t>FOLHA 5 - CÁLCULO DA FOLHA DE PAGAMENTO E ENCARGOS</t>
  </si>
  <si>
    <t>Salário Auxiliar</t>
  </si>
  <si>
    <t>Quantidade</t>
  </si>
  <si>
    <t>Total</t>
  </si>
  <si>
    <t>INSS Patronal</t>
  </si>
  <si>
    <r>
      <t>13</t>
    </r>
    <r>
      <rPr>
        <b/>
        <vertAlign val="superscript"/>
        <sz val="12"/>
        <color theme="1"/>
        <rFont val="Calibri"/>
        <family val="2"/>
        <scheme val="minor"/>
      </rPr>
      <t>o</t>
    </r>
  </si>
  <si>
    <t>Remuneração / Valor</t>
  </si>
  <si>
    <t>-</t>
  </si>
  <si>
    <t>Vale transporte Auxiliar</t>
  </si>
  <si>
    <t>Desconto Vale Transporte Auxiliar</t>
  </si>
  <si>
    <t>Vale alimentação Auxiliar</t>
  </si>
  <si>
    <t>IRPF Empreendedor</t>
  </si>
  <si>
    <t>Energia elétrica</t>
  </si>
  <si>
    <t>Despesas</t>
  </si>
  <si>
    <t>FATURAMENTO - F1</t>
  </si>
  <si>
    <t>FOLHA 7 - DEMONSTRAÇÃO DO FLUXO DE CAIXA</t>
  </si>
  <si>
    <t>RECEBIMENTO - F1</t>
  </si>
  <si>
    <t>FOLHA 6 - DESPESAS RECORRETES</t>
  </si>
  <si>
    <t>IMPOSTOS - F3</t>
  </si>
  <si>
    <t>F4+F5+F6</t>
  </si>
  <si>
    <t>FOLHA 8 - PRECIFICAÇÃO</t>
  </si>
  <si>
    <t>Custos  (despesas recorrentes + folha de pagamento)</t>
  </si>
  <si>
    <t>F5+F6</t>
  </si>
  <si>
    <t>média histórica</t>
  </si>
  <si>
    <t>Impostos sobre faturamento (média)</t>
  </si>
  <si>
    <t>PV</t>
  </si>
  <si>
    <t>CHT</t>
  </si>
  <si>
    <t>CSP</t>
  </si>
  <si>
    <t>CSP = CHT*DP</t>
  </si>
  <si>
    <t>PV = CSP/(1-(IMP+LUCRO))/100</t>
  </si>
  <si>
    <t>Diferença</t>
  </si>
  <si>
    <t>LUCRO PRESUMIDO</t>
  </si>
  <si>
    <t>PCMSO / PPRA / PPP</t>
  </si>
  <si>
    <t xml:space="preserve">CONSULTA DE CONVÊNIO 60 DIAS. </t>
  </si>
  <si>
    <t xml:space="preserve">CONSULTAS PARTICULARES A VISTA. </t>
  </si>
  <si>
    <t xml:space="preserve">PROCEDIMENTO BC/CD 60 DIAS. </t>
  </si>
  <si>
    <t>PROCEDIMENTO AC/LD ENTRADA E 30 DIAS DIRETO</t>
  </si>
  <si>
    <t>CHT = 42.588,38/(160*0,5)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</si>
</sst>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* #,##0.00_-;\-&quot;R$&quot;* #,##0.00_-;_-&quot;R$&quot;* &quot;-&quot;??_-;_-@_-"/>
    <numFmt numFmtId="165" formatCode="0.0%"/>
    <numFmt numFmtId="166" formatCode="_-&quot;R$&quot;* #,##0_-;\-&quot;R$&quot;* #,##0_-;_-&quot;R$&quot;* &quot;-&quot;??_-;_-@_-"/>
    <numFmt numFmtId="167" formatCode="0.000%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51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1">
    <xf numFmtId="0" fontId="0" fillId="0" borderId="0" xfId="0"/>
    <xf numFmtId="0" fontId="5" fillId="0" borderId="0" xfId="0" applyFont="1"/>
    <xf numFmtId="9" fontId="0" fillId="0" borderId="0" xfId="2" applyFont="1"/>
    <xf numFmtId="0" fontId="5" fillId="0" borderId="0" xfId="0" applyFont="1" applyAlignment="1">
      <alignment horizontal="center"/>
    </xf>
    <xf numFmtId="3" fontId="0" fillId="0" borderId="0" xfId="0" applyNumberFormat="1"/>
    <xf numFmtId="3" fontId="5" fillId="0" borderId="0" xfId="0" applyNumberFormat="1" applyFont="1"/>
    <xf numFmtId="0" fontId="0" fillId="0" borderId="0" xfId="0" applyFont="1"/>
    <xf numFmtId="9" fontId="5" fillId="0" borderId="0" xfId="2" applyFont="1"/>
    <xf numFmtId="9" fontId="0" fillId="0" borderId="0" xfId="0" applyNumberFormat="1"/>
    <xf numFmtId="10" fontId="0" fillId="0" borderId="0" xfId="0" applyNumberFormat="1"/>
    <xf numFmtId="4" fontId="0" fillId="0" borderId="0" xfId="0" applyNumberFormat="1"/>
    <xf numFmtId="9" fontId="5" fillId="0" borderId="0" xfId="0" applyNumberFormat="1" applyFont="1"/>
    <xf numFmtId="4" fontId="5" fillId="0" borderId="0" xfId="0" applyNumberFormat="1" applyFont="1"/>
    <xf numFmtId="0" fontId="8" fillId="0" borderId="1" xfId="0" applyFont="1" applyBorder="1"/>
    <xf numFmtId="10" fontId="8" fillId="0" borderId="2" xfId="0" applyNumberFormat="1" applyFont="1" applyBorder="1"/>
    <xf numFmtId="0" fontId="0" fillId="0" borderId="3" xfId="0" applyBorder="1" applyAlignment="1">
      <alignment horizontal="left" indent="2"/>
    </xf>
    <xf numFmtId="10" fontId="0" fillId="0" borderId="4" xfId="2" applyNumberFormat="1" applyFont="1" applyBorder="1"/>
    <xf numFmtId="0" fontId="0" fillId="0" borderId="5" xfId="0" applyBorder="1"/>
    <xf numFmtId="0" fontId="0" fillId="0" borderId="6" xfId="0" applyBorder="1"/>
    <xf numFmtId="0" fontId="8" fillId="0" borderId="5" xfId="0" applyFont="1" applyBorder="1"/>
    <xf numFmtId="10" fontId="8" fillId="0" borderId="6" xfId="0" applyNumberFormat="1" applyFont="1" applyBorder="1"/>
    <xf numFmtId="0" fontId="8" fillId="0" borderId="7" xfId="0" applyFont="1" applyBorder="1"/>
    <xf numFmtId="10" fontId="8" fillId="0" borderId="8" xfId="0" applyNumberFormat="1" applyFont="1" applyBorder="1"/>
    <xf numFmtId="10" fontId="0" fillId="0" borderId="0" xfId="2" quotePrefix="1" applyNumberFormat="1" applyFont="1"/>
    <xf numFmtId="9" fontId="0" fillId="0" borderId="0" xfId="0" quotePrefix="1" applyNumberFormat="1"/>
    <xf numFmtId="0" fontId="8" fillId="0" borderId="0" xfId="0" applyFont="1" applyBorder="1"/>
    <xf numFmtId="10" fontId="8" fillId="0" borderId="0" xfId="0" applyNumberFormat="1" applyFont="1" applyBorder="1"/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0" fontId="0" fillId="0" borderId="0" xfId="0" applyFill="1" applyBorder="1" applyAlignment="1">
      <alignment horizontal="left" vertical="center" wrapText="1"/>
    </xf>
    <xf numFmtId="0" fontId="14" fillId="0" borderId="0" xfId="0" applyFont="1" applyFill="1"/>
    <xf numFmtId="4" fontId="10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6" fillId="0" borderId="9" xfId="0" applyFont="1" applyFill="1" applyBorder="1" applyAlignment="1">
      <alignment vertical="center" wrapText="1"/>
    </xf>
    <xf numFmtId="10" fontId="10" fillId="0" borderId="0" xfId="2" applyNumberFormat="1" applyFont="1" applyFill="1" applyBorder="1" applyAlignment="1">
      <alignment vertical="center"/>
    </xf>
    <xf numFmtId="0" fontId="21" fillId="0" borderId="0" xfId="0" applyFont="1" applyFill="1"/>
    <xf numFmtId="0" fontId="21" fillId="0" borderId="0" xfId="0" applyFont="1" applyFill="1" applyBorder="1"/>
    <xf numFmtId="4" fontId="18" fillId="0" borderId="0" xfId="0" applyNumberFormat="1" applyFont="1" applyFill="1" applyBorder="1" applyAlignment="1">
      <alignment vertical="center"/>
    </xf>
    <xf numFmtId="164" fontId="10" fillId="0" borderId="9" xfId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9" fontId="9" fillId="0" borderId="0" xfId="0" applyNumberFormat="1" applyFont="1" applyFill="1"/>
    <xf numFmtId="0" fontId="9" fillId="0" borderId="0" xfId="0" applyFont="1" applyFill="1"/>
    <xf numFmtId="9" fontId="0" fillId="0" borderId="0" xfId="2" applyNumberFormat="1" applyFont="1" applyFill="1"/>
    <xf numFmtId="164" fontId="13" fillId="0" borderId="9" xfId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5" fillId="0" borderId="0" xfId="0" applyFont="1" applyFill="1"/>
    <xf numFmtId="167" fontId="0" fillId="0" borderId="0" xfId="0" applyNumberFormat="1" applyFill="1"/>
    <xf numFmtId="10" fontId="0" fillId="0" borderId="0" xfId="2" applyNumberFormat="1" applyFont="1" applyFill="1"/>
    <xf numFmtId="10" fontId="5" fillId="0" borderId="0" xfId="0" applyNumberFormat="1" applyFont="1" applyFill="1" applyBorder="1"/>
    <xf numFmtId="10" fontId="27" fillId="0" borderId="0" xfId="0" applyNumberFormat="1" applyFont="1" applyFill="1" applyBorder="1"/>
    <xf numFmtId="0" fontId="27" fillId="0" borderId="0" xfId="0" applyFont="1" applyFill="1" applyBorder="1"/>
    <xf numFmtId="9" fontId="5" fillId="0" borderId="0" xfId="0" applyNumberFormat="1" applyFont="1" applyFill="1" applyBorder="1"/>
    <xf numFmtId="9" fontId="27" fillId="0" borderId="0" xfId="0" applyNumberFormat="1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10" fontId="11" fillId="0" borderId="0" xfId="0" applyNumberFormat="1" applyFont="1" applyFill="1" applyBorder="1"/>
    <xf numFmtId="0" fontId="5" fillId="0" borderId="0" xfId="0" applyFont="1" applyFill="1" applyBorder="1" applyAlignment="1"/>
    <xf numFmtId="0" fontId="27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Border="1" applyAlignment="1"/>
    <xf numFmtId="166" fontId="10" fillId="3" borderId="9" xfId="1" applyNumberFormat="1" applyFont="1" applyFill="1" applyBorder="1" applyAlignment="1" applyProtection="1">
      <alignment vertical="center"/>
      <protection locked="0" hidden="1"/>
    </xf>
    <xf numFmtId="0" fontId="10" fillId="0" borderId="9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vertical="center"/>
      <protection locked="0" hidden="1"/>
    </xf>
    <xf numFmtId="0" fontId="5" fillId="2" borderId="9" xfId="0" applyFont="1" applyFill="1" applyBorder="1" applyAlignment="1" applyProtection="1">
      <alignment vertical="center" wrapText="1"/>
      <protection locked="0" hidden="1"/>
    </xf>
    <xf numFmtId="0" fontId="5" fillId="2" borderId="9" xfId="0" applyFont="1" applyFill="1" applyBorder="1" applyAlignment="1" applyProtection="1">
      <alignment horizontal="center" vertical="center"/>
      <protection locked="0" hidden="1"/>
    </xf>
    <xf numFmtId="0" fontId="5" fillId="2" borderId="9" xfId="0" applyFont="1" applyFill="1" applyBorder="1" applyAlignment="1" applyProtection="1">
      <alignment horizontal="center" vertical="center" wrapText="1"/>
      <protection locked="0" hidden="1"/>
    </xf>
    <xf numFmtId="0" fontId="22" fillId="0" borderId="9" xfId="0" applyFont="1" applyFill="1" applyBorder="1" applyAlignment="1" applyProtection="1">
      <alignment vertical="center" wrapText="1"/>
      <protection locked="0" hidden="1"/>
    </xf>
    <xf numFmtId="0" fontId="0" fillId="0" borderId="0" xfId="0" applyFill="1" applyProtection="1">
      <protection locked="0" hidden="1"/>
    </xf>
    <xf numFmtId="0" fontId="5" fillId="0" borderId="9" xfId="0" applyFont="1" applyFill="1" applyBorder="1" applyAlignment="1" applyProtection="1">
      <alignment vertical="center" wrapText="1"/>
      <protection locked="0" hidden="1"/>
    </xf>
    <xf numFmtId="0" fontId="5" fillId="0" borderId="9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 applyProtection="1">
      <alignment horizontal="center" vertical="center" wrapText="1"/>
      <protection locked="0" hidden="1"/>
    </xf>
    <xf numFmtId="1" fontId="31" fillId="0" borderId="9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9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Fill="1" applyBorder="1" applyAlignment="1" applyProtection="1">
      <alignment horizontal="center"/>
      <protection locked="0" hidden="1"/>
    </xf>
    <xf numFmtId="3" fontId="13" fillId="0" borderId="9" xfId="0" applyNumberFormat="1" applyFont="1" applyFill="1" applyBorder="1" applyAlignment="1" applyProtection="1">
      <alignment vertical="center"/>
      <protection locked="0" hidden="1"/>
    </xf>
    <xf numFmtId="3" fontId="31" fillId="0" borderId="9" xfId="0" applyNumberFormat="1" applyFont="1" applyFill="1" applyBorder="1" applyAlignment="1" applyProtection="1">
      <alignment vertical="center"/>
      <protection locked="0" hidden="1"/>
    </xf>
    <xf numFmtId="0" fontId="15" fillId="2" borderId="9" xfId="0" applyFont="1" applyFill="1" applyBorder="1" applyAlignment="1" applyProtection="1">
      <alignment horizontal="center" vertical="center" wrapText="1"/>
      <protection locked="0" hidden="1"/>
    </xf>
    <xf numFmtId="3" fontId="10" fillId="0" borderId="9" xfId="0" applyNumberFormat="1" applyFont="1" applyFill="1" applyBorder="1" applyAlignment="1" applyProtection="1">
      <alignment vertical="center"/>
      <protection locked="0" hidden="1"/>
    </xf>
    <xf numFmtId="3" fontId="10" fillId="0" borderId="10" xfId="0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Alignment="1" applyProtection="1">
      <alignment wrapText="1"/>
      <protection locked="0" hidden="1"/>
    </xf>
    <xf numFmtId="0" fontId="5" fillId="0" borderId="0" xfId="0" applyFont="1" applyFill="1" applyProtection="1">
      <protection locked="0" hidden="1"/>
    </xf>
    <xf numFmtId="9" fontId="0" fillId="0" borderId="0" xfId="0" applyNumberFormat="1" applyFill="1" applyProtection="1">
      <protection locked="0" hidden="1"/>
    </xf>
    <xf numFmtId="4" fontId="0" fillId="0" borderId="0" xfId="0" applyNumberFormat="1" applyFill="1" applyProtection="1">
      <protection locked="0" hidden="1"/>
    </xf>
    <xf numFmtId="0" fontId="5" fillId="0" borderId="0" xfId="0" applyFont="1" applyFill="1" applyAlignment="1" applyProtection="1">
      <alignment horizontal="center" wrapText="1"/>
      <protection locked="0" hidden="1"/>
    </xf>
    <xf numFmtId="3" fontId="0" fillId="0" borderId="0" xfId="0" applyNumberFormat="1" applyFill="1" applyProtection="1">
      <protection locked="0" hidden="1"/>
    </xf>
    <xf numFmtId="0" fontId="14" fillId="0" borderId="11" xfId="0" applyFont="1" applyFill="1" applyBorder="1" applyAlignment="1" applyProtection="1">
      <alignment vertical="center" wrapText="1"/>
      <protection locked="0" hidden="1"/>
    </xf>
    <xf numFmtId="10" fontId="13" fillId="0" borderId="11" xfId="0" applyNumberFormat="1" applyFont="1" applyFill="1" applyBorder="1" applyAlignment="1" applyProtection="1">
      <alignment vertical="center"/>
      <protection locked="0" hidden="1"/>
    </xf>
    <xf numFmtId="4" fontId="13" fillId="0" borderId="11" xfId="0" applyNumberFormat="1" applyFont="1" applyFill="1" applyBorder="1" applyAlignment="1" applyProtection="1">
      <alignment vertical="center"/>
      <protection locked="0" hidden="1"/>
    </xf>
    <xf numFmtId="4" fontId="31" fillId="0" borderId="11" xfId="0" applyNumberFormat="1" applyFont="1" applyFill="1" applyBorder="1" applyAlignment="1" applyProtection="1">
      <alignment vertical="center"/>
      <protection locked="0" hidden="1"/>
    </xf>
    <xf numFmtId="0" fontId="14" fillId="0" borderId="9" xfId="0" applyFont="1" applyFill="1" applyBorder="1" applyAlignment="1" applyProtection="1">
      <alignment vertical="center" wrapText="1"/>
      <protection locked="0" hidden="1"/>
    </xf>
    <xf numFmtId="10" fontId="13" fillId="0" borderId="9" xfId="0" applyNumberFormat="1" applyFont="1" applyFill="1" applyBorder="1" applyAlignment="1" applyProtection="1">
      <alignment vertical="center" wrapText="1"/>
      <protection locked="0" hidden="1"/>
    </xf>
    <xf numFmtId="4" fontId="13" fillId="0" borderId="9" xfId="0" applyNumberFormat="1" applyFont="1" applyFill="1" applyBorder="1" applyAlignment="1" applyProtection="1">
      <alignment vertical="center"/>
      <protection locked="0" hidden="1"/>
    </xf>
    <xf numFmtId="4" fontId="31" fillId="0" borderId="9" xfId="0" applyNumberFormat="1" applyFont="1" applyFill="1" applyBorder="1" applyAlignment="1" applyProtection="1">
      <alignment vertical="center"/>
      <protection locked="0" hidden="1"/>
    </xf>
    <xf numFmtId="4" fontId="10" fillId="0" borderId="10" xfId="0" applyNumberFormat="1" applyFont="1" applyFill="1" applyBorder="1" applyAlignment="1" applyProtection="1">
      <alignment vertical="center"/>
      <protection locked="0" hidden="1"/>
    </xf>
    <xf numFmtId="4" fontId="31" fillId="0" borderId="10" xfId="0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alignment vertical="center" wrapText="1"/>
      <protection locked="0" hidden="1"/>
    </xf>
    <xf numFmtId="10" fontId="10" fillId="0" borderId="0" xfId="0" applyNumberFormat="1" applyFont="1" applyFill="1" applyBorder="1" applyAlignment="1" applyProtection="1">
      <alignment vertical="center"/>
      <protection locked="0" hidden="1"/>
    </xf>
    <xf numFmtId="4" fontId="10" fillId="0" borderId="0" xfId="0" applyNumberFormat="1" applyFont="1" applyFill="1" applyBorder="1" applyAlignment="1" applyProtection="1">
      <alignment vertical="center"/>
      <protection locked="0" hidden="1"/>
    </xf>
    <xf numFmtId="4" fontId="12" fillId="0" borderId="0" xfId="0" applyNumberFormat="1" applyFont="1" applyFill="1" applyBorder="1" applyAlignment="1" applyProtection="1">
      <alignment vertical="center"/>
      <protection locked="0" hidden="1"/>
    </xf>
    <xf numFmtId="164" fontId="10" fillId="0" borderId="9" xfId="1" applyFont="1" applyFill="1" applyBorder="1" applyAlignment="1" applyProtection="1">
      <alignment vertical="center"/>
      <protection locked="0" hidden="1"/>
    </xf>
    <xf numFmtId="2" fontId="10" fillId="0" borderId="9" xfId="0" applyNumberFormat="1" applyFont="1" applyFill="1" applyBorder="1" applyAlignment="1" applyProtection="1">
      <alignment horizontal="center" vertical="center"/>
      <protection locked="0" hidden="1"/>
    </xf>
    <xf numFmtId="2" fontId="31" fillId="0" borderId="9" xfId="0" applyNumberFormat="1" applyFont="1" applyFill="1" applyBorder="1" applyAlignment="1" applyProtection="1">
      <alignment horizontal="center" vertical="center"/>
      <protection locked="0" hidden="1"/>
    </xf>
    <xf numFmtId="0" fontId="5" fillId="2" borderId="9" xfId="0" applyFont="1" applyFill="1" applyBorder="1" applyAlignment="1" applyProtection="1">
      <alignment horizontal="left" vertical="center" wrapText="1"/>
      <protection locked="0" hidden="1"/>
    </xf>
    <xf numFmtId="0" fontId="1" fillId="0" borderId="9" xfId="0" applyFont="1" applyFill="1" applyBorder="1" applyAlignment="1" applyProtection="1">
      <alignment horizontal="left" vertical="center" wrapText="1"/>
      <protection locked="0" hidden="1"/>
    </xf>
    <xf numFmtId="3" fontId="10" fillId="0" borderId="9" xfId="0" applyNumberFormat="1" applyFont="1" applyFill="1" applyBorder="1" applyAlignment="1" applyProtection="1">
      <alignment horizontal="center" vertical="center"/>
      <protection locked="0" hidden="1"/>
    </xf>
    <xf numFmtId="9" fontId="10" fillId="0" borderId="9" xfId="2" applyFont="1" applyFill="1" applyBorder="1" applyAlignment="1" applyProtection="1">
      <alignment horizontal="center" vertical="center"/>
      <protection locked="0" hidden="1"/>
    </xf>
    <xf numFmtId="9" fontId="10" fillId="0" borderId="9" xfId="2" applyNumberFormat="1" applyFont="1" applyFill="1" applyBorder="1" applyAlignment="1" applyProtection="1">
      <alignment horizontal="center" vertical="center"/>
      <protection locked="0" hidden="1"/>
    </xf>
    <xf numFmtId="167" fontId="10" fillId="0" borderId="9" xfId="2" applyNumberFormat="1" applyFont="1" applyFill="1" applyBorder="1" applyAlignment="1" applyProtection="1">
      <alignment horizontal="center" vertical="center"/>
      <protection locked="0" hidden="1"/>
    </xf>
    <xf numFmtId="164" fontId="12" fillId="0" borderId="9" xfId="1" applyFont="1" applyFill="1" applyBorder="1" applyAlignment="1" applyProtection="1">
      <alignment vertical="center"/>
      <protection locked="0" hidden="1"/>
    </xf>
    <xf numFmtId="0" fontId="16" fillId="0" borderId="9" xfId="0" applyFont="1" applyFill="1" applyBorder="1" applyAlignment="1" applyProtection="1">
      <alignment horizontal="left" vertical="center" wrapText="1"/>
      <protection locked="0" hidden="1"/>
    </xf>
    <xf numFmtId="164" fontId="10" fillId="0" borderId="9" xfId="1" applyFont="1" applyFill="1" applyBorder="1" applyAlignment="1" applyProtection="1">
      <alignment horizontal="center" vertical="center"/>
      <protection locked="0" hidden="1"/>
    </xf>
    <xf numFmtId="164" fontId="10" fillId="0" borderId="16" xfId="1" applyFont="1" applyFill="1" applyBorder="1" applyAlignment="1" applyProtection="1">
      <alignment horizontal="center" vertical="center"/>
      <protection locked="0" hidden="1"/>
    </xf>
    <xf numFmtId="4" fontId="10" fillId="0" borderId="16" xfId="0" applyNumberFormat="1" applyFont="1" applyFill="1" applyBorder="1" applyAlignment="1" applyProtection="1">
      <alignment horizontal="center" vertical="center"/>
      <protection locked="0" hidden="1"/>
    </xf>
    <xf numFmtId="164" fontId="12" fillId="0" borderId="16" xfId="1" applyFont="1" applyFill="1" applyBorder="1" applyAlignment="1" applyProtection="1">
      <alignment vertical="center"/>
      <protection locked="0" hidden="1"/>
    </xf>
    <xf numFmtId="9" fontId="10" fillId="0" borderId="9" xfId="0" applyNumberFormat="1" applyFont="1" applyFill="1" applyBorder="1" applyAlignment="1" applyProtection="1">
      <alignment horizontal="center" vertical="center"/>
      <protection locked="0" hidden="1"/>
    </xf>
    <xf numFmtId="9" fontId="10" fillId="0" borderId="16" xfId="0" applyNumberFormat="1" applyFont="1" applyFill="1" applyBorder="1" applyAlignment="1" applyProtection="1">
      <alignment horizontal="center" vertical="center"/>
      <protection locked="0" hidden="1"/>
    </xf>
    <xf numFmtId="4" fontId="26" fillId="0" borderId="10" xfId="0" applyNumberFormat="1" applyFont="1" applyFill="1" applyBorder="1" applyAlignment="1" applyProtection="1">
      <alignment vertical="center"/>
      <protection locked="0" hidden="1"/>
    </xf>
    <xf numFmtId="0" fontId="16" fillId="0" borderId="22" xfId="0" applyFont="1" applyFill="1" applyBorder="1" applyAlignment="1" applyProtection="1">
      <alignment horizontal="left" vertical="center" wrapText="1"/>
      <protection locked="0" hidden="1"/>
    </xf>
    <xf numFmtId="3" fontId="10" fillId="0" borderId="22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22" xfId="1" applyFont="1" applyFill="1" applyBorder="1" applyAlignment="1" applyProtection="1">
      <alignment horizontal="center" vertical="center"/>
      <protection locked="0" hidden="1"/>
    </xf>
    <xf numFmtId="4" fontId="10" fillId="0" borderId="22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2" xfId="1" applyFont="1" applyFill="1" applyBorder="1" applyAlignment="1" applyProtection="1">
      <alignment vertical="center"/>
      <protection locked="0" hidden="1"/>
    </xf>
    <xf numFmtId="0" fontId="1" fillId="0" borderId="16" xfId="0" applyFont="1" applyFill="1" applyBorder="1" applyAlignment="1" applyProtection="1">
      <alignment horizontal="left" vertical="center" wrapText="1"/>
      <protection locked="0" hidden="1"/>
    </xf>
    <xf numFmtId="165" fontId="10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6" xfId="0" applyFont="1" applyFill="1" applyBorder="1" applyAlignment="1" applyProtection="1">
      <alignment horizontal="left" vertical="center" wrapText="1"/>
      <protection locked="0" hidden="1"/>
    </xf>
    <xf numFmtId="164" fontId="10" fillId="0" borderId="9" xfId="0" applyNumberFormat="1" applyFont="1" applyFill="1" applyBorder="1" applyAlignment="1" applyProtection="1">
      <alignment vertical="center" wrapText="1"/>
      <protection locked="0" hidden="1"/>
    </xf>
    <xf numFmtId="0" fontId="0" fillId="2" borderId="0" xfId="0" applyFill="1" applyProtection="1">
      <protection locked="0" hidden="1"/>
    </xf>
    <xf numFmtId="0" fontId="5" fillId="2" borderId="9" xfId="0" applyFont="1" applyFill="1" applyBorder="1" applyAlignment="1" applyProtection="1">
      <alignment horizontal="center"/>
      <protection locked="0" hidden="1"/>
    </xf>
    <xf numFmtId="4" fontId="10" fillId="0" borderId="9" xfId="0" applyNumberFormat="1" applyFont="1" applyFill="1" applyBorder="1" applyProtection="1">
      <protection locked="0" hidden="1"/>
    </xf>
    <xf numFmtId="4" fontId="31" fillId="0" borderId="9" xfId="0" applyNumberFormat="1" applyFont="1" applyFill="1" applyBorder="1" applyProtection="1">
      <protection locked="0" hidden="1"/>
    </xf>
    <xf numFmtId="4" fontId="10" fillId="0" borderId="11" xfId="0" applyNumberFormat="1" applyFont="1" applyFill="1" applyBorder="1" applyProtection="1">
      <protection locked="0" hidden="1"/>
    </xf>
    <xf numFmtId="4" fontId="31" fillId="0" borderId="11" xfId="0" applyNumberFormat="1" applyFont="1" applyFill="1" applyBorder="1" applyProtection="1">
      <protection locked="0" hidden="1"/>
    </xf>
    <xf numFmtId="4" fontId="10" fillId="0" borderId="9" xfId="0" applyNumberFormat="1" applyFont="1" applyFill="1" applyBorder="1" applyAlignment="1" applyProtection="1">
      <alignment vertical="center"/>
      <protection locked="0" hidden="1"/>
    </xf>
    <xf numFmtId="0" fontId="0" fillId="0" borderId="9" xfId="0" applyFill="1" applyBorder="1" applyAlignment="1" applyProtection="1">
      <alignment horizontal="left" vertical="center" wrapText="1"/>
      <protection locked="0" hidden="1"/>
    </xf>
    <xf numFmtId="0" fontId="19" fillId="0" borderId="9" xfId="0" applyFont="1" applyFill="1" applyBorder="1" applyAlignment="1" applyProtection="1">
      <alignment horizontal="left" vertical="center" wrapText="1"/>
      <protection locked="0" hidden="1"/>
    </xf>
    <xf numFmtId="4" fontId="13" fillId="0" borderId="9" xfId="0" applyNumberFormat="1" applyFont="1" applyFill="1" applyBorder="1" applyProtection="1">
      <protection locked="0" hidden="1"/>
    </xf>
    <xf numFmtId="0" fontId="13" fillId="0" borderId="9" xfId="0" applyFont="1" applyFill="1" applyBorder="1" applyProtection="1">
      <protection locked="0" hidden="1"/>
    </xf>
    <xf numFmtId="4" fontId="13" fillId="0" borderId="18" xfId="0" applyNumberFormat="1" applyFont="1" applyFill="1" applyBorder="1" applyAlignment="1" applyProtection="1">
      <alignment vertical="center"/>
      <protection locked="0" hidden="1"/>
    </xf>
    <xf numFmtId="4" fontId="24" fillId="0" borderId="10" xfId="0" applyNumberFormat="1" applyFont="1" applyFill="1" applyBorder="1" applyAlignment="1" applyProtection="1">
      <alignment vertical="center"/>
      <protection locked="0" hidden="1"/>
    </xf>
    <xf numFmtId="0" fontId="20" fillId="0" borderId="0" xfId="0" applyFont="1" applyFill="1" applyAlignment="1" applyProtection="1">
      <alignment vertical="center"/>
      <protection locked="0" hidden="1"/>
    </xf>
    <xf numFmtId="0" fontId="1" fillId="0" borderId="9" xfId="0" applyFont="1" applyFill="1" applyBorder="1" applyAlignment="1" applyProtection="1">
      <alignment vertical="center" wrapText="1"/>
      <protection locked="0" hidden="1"/>
    </xf>
    <xf numFmtId="164" fontId="17" fillId="0" borderId="9" xfId="1" applyFont="1" applyFill="1" applyBorder="1" applyProtection="1">
      <protection locked="0" hidden="1"/>
    </xf>
    <xf numFmtId="0" fontId="29" fillId="0" borderId="0" xfId="0" applyFont="1" applyFill="1" applyProtection="1">
      <protection locked="0" hidden="1"/>
    </xf>
    <xf numFmtId="0" fontId="0" fillId="0" borderId="9" xfId="0" applyFill="1" applyBorder="1" applyAlignment="1" applyProtection="1">
      <alignment vertical="center" wrapText="1"/>
      <protection locked="0" hidden="1"/>
    </xf>
    <xf numFmtId="164" fontId="10" fillId="0" borderId="9" xfId="1" applyFont="1" applyFill="1" applyBorder="1" applyProtection="1">
      <protection locked="0" hidden="1"/>
    </xf>
    <xf numFmtId="9" fontId="10" fillId="0" borderId="9" xfId="0" applyNumberFormat="1" applyFont="1" applyFill="1" applyBorder="1" applyProtection="1">
      <protection locked="0" hidden="1"/>
    </xf>
    <xf numFmtId="0" fontId="0" fillId="0" borderId="11" xfId="0" applyFill="1" applyBorder="1" applyAlignment="1" applyProtection="1">
      <alignment vertical="center" wrapText="1"/>
      <protection locked="0" hidden="1"/>
    </xf>
    <xf numFmtId="164" fontId="31" fillId="0" borderId="11" xfId="1" applyFont="1" applyFill="1" applyBorder="1" applyProtection="1">
      <protection locked="0" hidden="1"/>
    </xf>
    <xf numFmtId="0" fontId="14" fillId="0" borderId="0" xfId="0" applyFont="1" applyFill="1" applyProtection="1">
      <protection locked="0" hidden="1"/>
    </xf>
    <xf numFmtId="0" fontId="30" fillId="0" borderId="0" xfId="0" applyFont="1" applyFill="1" applyProtection="1">
      <protection locked="0" hidden="1"/>
    </xf>
    <xf numFmtId="0" fontId="0" fillId="0" borderId="10" xfId="0" applyFill="1" applyBorder="1" applyAlignment="1" applyProtection="1">
      <alignment vertical="center" wrapText="1"/>
      <protection locked="0" hidden="1"/>
    </xf>
    <xf numFmtId="9" fontId="13" fillId="0" borderId="10" xfId="0" applyNumberFormat="1" applyFont="1" applyFill="1" applyBorder="1" applyProtection="1">
      <protection locked="0" hidden="1"/>
    </xf>
    <xf numFmtId="9" fontId="13" fillId="0" borderId="9" xfId="0" applyNumberFormat="1" applyFont="1" applyFill="1" applyBorder="1" applyProtection="1">
      <protection locked="0" hidden="1"/>
    </xf>
    <xf numFmtId="0" fontId="14" fillId="0" borderId="0" xfId="0" applyFont="1" applyFill="1" applyAlignment="1" applyProtection="1">
      <alignment vertical="center"/>
      <protection locked="0" hidden="1"/>
    </xf>
    <xf numFmtId="0" fontId="5" fillId="0" borderId="9" xfId="0" applyFont="1" applyFill="1" applyBorder="1" applyAlignment="1" applyProtection="1">
      <alignment vertical="center"/>
      <protection locked="0" hidden="1"/>
    </xf>
    <xf numFmtId="0" fontId="15" fillId="0" borderId="9" xfId="0" applyFont="1" applyFill="1" applyBorder="1" applyAlignment="1" applyProtection="1">
      <alignment horizontal="center" vertical="center" wrapText="1"/>
      <protection locked="0" hidden="1"/>
    </xf>
    <xf numFmtId="0" fontId="15" fillId="0" borderId="12" xfId="0" applyFont="1" applyFill="1" applyBorder="1" applyAlignment="1" applyProtection="1">
      <alignment horizontal="center" vertical="center" wrapText="1"/>
      <protection locked="0" hidden="1"/>
    </xf>
    <xf numFmtId="0" fontId="15" fillId="0" borderId="19" xfId="0" applyFont="1" applyFill="1" applyBorder="1" applyAlignment="1" applyProtection="1">
      <alignment horizontal="center" vertical="center" wrapText="1"/>
      <protection locked="0" hidden="1"/>
    </xf>
    <xf numFmtId="164" fontId="13" fillId="0" borderId="9" xfId="1" applyFont="1" applyFill="1" applyBorder="1" applyAlignment="1" applyProtection="1">
      <alignment vertical="center"/>
      <protection locked="0" hidden="1"/>
    </xf>
    <xf numFmtId="0" fontId="13" fillId="0" borderId="9" xfId="0" applyFont="1" applyFill="1" applyBorder="1" applyAlignment="1" applyProtection="1">
      <alignment horizontal="center" vertical="center"/>
      <protection locked="0" hidden="1"/>
    </xf>
    <xf numFmtId="164" fontId="31" fillId="0" borderId="9" xfId="1" applyFont="1" applyFill="1" applyBorder="1" applyAlignment="1" applyProtection="1">
      <alignment vertical="center"/>
      <protection locked="0" hidden="1"/>
    </xf>
    <xf numFmtId="164" fontId="31" fillId="0" borderId="12" xfId="1" applyFont="1" applyFill="1" applyBorder="1" applyAlignment="1" applyProtection="1">
      <alignment vertical="center"/>
      <protection locked="0" hidden="1"/>
    </xf>
    <xf numFmtId="164" fontId="31" fillId="0" borderId="19" xfId="1" applyFont="1" applyFill="1" applyBorder="1" applyAlignment="1" applyProtection="1">
      <alignment vertical="center"/>
      <protection locked="0" hidden="1"/>
    </xf>
    <xf numFmtId="0" fontId="5" fillId="2" borderId="12" xfId="0" applyFont="1" applyFill="1" applyBorder="1" applyAlignment="1" applyProtection="1">
      <alignment horizontal="left" vertical="center"/>
      <protection locked="0" hidden="1"/>
    </xf>
    <xf numFmtId="0" fontId="5" fillId="2" borderId="13" xfId="0" applyFont="1" applyFill="1" applyBorder="1" applyAlignment="1" applyProtection="1">
      <alignment horizontal="left" vertical="center"/>
      <protection locked="0" hidden="1"/>
    </xf>
    <xf numFmtId="0" fontId="22" fillId="0" borderId="9" xfId="0" applyFont="1" applyFill="1" applyBorder="1" applyAlignment="1" applyProtection="1">
      <alignment horizontal="left" vertical="center" wrapText="1"/>
      <protection locked="0" hidden="1"/>
    </xf>
    <xf numFmtId="3" fontId="10" fillId="0" borderId="14" xfId="0" applyNumberFormat="1" applyFont="1" applyFill="1" applyBorder="1" applyAlignment="1" applyProtection="1">
      <alignment horizontal="center" vertical="center"/>
      <protection locked="0" hidden="1"/>
    </xf>
    <xf numFmtId="3" fontId="10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 wrapText="1"/>
      <protection locked="0" hidden="1"/>
    </xf>
    <xf numFmtId="0" fontId="3" fillId="0" borderId="13" xfId="0" applyFont="1" applyFill="1" applyBorder="1" applyAlignment="1" applyProtection="1">
      <alignment horizontal="center" vertical="center" wrapText="1"/>
      <protection locked="0" hidden="1"/>
    </xf>
    <xf numFmtId="0" fontId="10" fillId="0" borderId="9" xfId="0" applyFont="1" applyFill="1" applyBorder="1" applyAlignment="1" applyProtection="1">
      <alignment horizontal="center" vertical="center" wrapText="1"/>
      <protection locked="0" hidden="1"/>
    </xf>
    <xf numFmtId="0" fontId="5" fillId="0" borderId="14" xfId="0" applyFont="1" applyFill="1" applyBorder="1" applyAlignment="1" applyProtection="1">
      <alignment horizontal="center" vertical="center" wrapText="1"/>
      <protection locked="0" hidden="1"/>
    </xf>
    <xf numFmtId="0" fontId="5" fillId="0" borderId="21" xfId="0" applyFont="1" applyFill="1" applyBorder="1" applyAlignment="1" applyProtection="1">
      <alignment horizontal="center" vertical="center" wrapText="1"/>
      <protection locked="0" hidden="1"/>
    </xf>
    <xf numFmtId="0" fontId="5" fillId="0" borderId="15" xfId="0" applyFont="1" applyFill="1" applyBorder="1" applyAlignment="1" applyProtection="1">
      <alignment horizontal="center" vertical="center" wrapText="1"/>
      <protection locked="0" hidden="1"/>
    </xf>
    <xf numFmtId="0" fontId="10" fillId="0" borderId="9" xfId="0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 applyProtection="1">
      <alignment horizontal="center" vertical="center"/>
      <protection locked="0" hidden="1"/>
    </xf>
    <xf numFmtId="3" fontId="11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2" xfId="0" applyFont="1" applyFill="1" applyBorder="1" applyAlignment="1" applyProtection="1">
      <alignment horizontal="left" vertical="center" wrapText="1"/>
      <protection locked="0" hidden="1"/>
    </xf>
    <xf numFmtId="0" fontId="0" fillId="0" borderId="13" xfId="0" applyFont="1" applyFill="1" applyBorder="1" applyAlignment="1" applyProtection="1">
      <alignment horizontal="left" vertical="center" wrapText="1"/>
      <protection locked="0" hidden="1"/>
    </xf>
    <xf numFmtId="0" fontId="10" fillId="0" borderId="0" xfId="0" applyFont="1" applyFill="1" applyBorder="1" applyAlignment="1" applyProtection="1">
      <alignment horizontal="center" vertical="center" wrapText="1"/>
      <protection locked="0" hidden="1"/>
    </xf>
    <xf numFmtId="3" fontId="9" fillId="0" borderId="14" xfId="0" applyNumberFormat="1" applyFont="1" applyFill="1" applyBorder="1" applyAlignment="1" applyProtection="1">
      <alignment horizontal="left" vertical="center"/>
      <protection locked="0" hidden="1"/>
    </xf>
    <xf numFmtId="3" fontId="9" fillId="0" borderId="15" xfId="0" applyNumberFormat="1" applyFont="1" applyFill="1" applyBorder="1" applyAlignment="1" applyProtection="1">
      <alignment horizontal="left" vertical="center"/>
      <protection locked="0" hidden="1"/>
    </xf>
    <xf numFmtId="0" fontId="0" fillId="0" borderId="20" xfId="0" applyFont="1" applyFill="1" applyBorder="1" applyAlignment="1" applyProtection="1">
      <alignment horizontal="left" vertical="center" wrapText="1"/>
      <protection locked="0" hidden="1"/>
    </xf>
    <xf numFmtId="0" fontId="0" fillId="0" borderId="17" xfId="0" applyFont="1" applyFill="1" applyBorder="1" applyAlignment="1" applyProtection="1">
      <alignment horizontal="left" vertical="center" wrapText="1"/>
      <protection locked="0" hidden="1"/>
    </xf>
    <xf numFmtId="0" fontId="5" fillId="0" borderId="9" xfId="0" applyFont="1" applyFill="1" applyBorder="1" applyAlignment="1" applyProtection="1">
      <alignment horizontal="left" vertical="center"/>
      <protection locked="0" hidden="1"/>
    </xf>
    <xf numFmtId="0" fontId="5" fillId="0" borderId="20" xfId="0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 applyProtection="1">
      <alignment horizontal="left" vertical="center" wrapText="1"/>
      <protection locked="0" hidden="1"/>
    </xf>
    <xf numFmtId="0" fontId="10" fillId="0" borderId="0" xfId="0" applyFont="1" applyFill="1" applyAlignment="1" applyProtection="1">
      <alignment horizontal="center" vertical="center" wrapText="1"/>
      <protection locked="0" hidden="1"/>
    </xf>
    <xf numFmtId="0" fontId="32" fillId="4" borderId="0" xfId="0" applyFont="1" applyFill="1" applyAlignment="1" applyProtection="1">
      <alignment horizontal="left" vertical="center" readingOrder="1"/>
      <protection locked="0" hidden="1"/>
    </xf>
    <xf numFmtId="0" fontId="8" fillId="4" borderId="0" xfId="0" applyFont="1" applyFill="1" applyProtection="1">
      <protection locked="0" hidden="1"/>
    </xf>
  </cellXfs>
  <cellStyles count="351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Moeda" xfId="1" builtinId="4"/>
    <cellStyle name="Normal" xfId="0" builtinId="0"/>
    <cellStyle name="Porcentagem" xfId="2" builtinId="5"/>
  </cellStyles>
  <dxfs count="1">
    <dxf>
      <font>
        <color theme="5" tint="-0.24994659260841701"/>
      </font>
      <fill>
        <patternFill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500799</xdr:colOff>
      <xdr:row>12</xdr:row>
      <xdr:rowOff>147293</xdr:rowOff>
    </xdr:from>
    <xdr:to>
      <xdr:col>12</xdr:col>
      <xdr:colOff>98196</xdr:colOff>
      <xdr:row>13</xdr:row>
      <xdr:rowOff>233389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4632E16-000A-4650-A4A2-A5ABFFDD7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02345" y="4192963"/>
          <a:ext cx="1247088" cy="400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12</xdr:row>
      <xdr:rowOff>0</xdr:rowOff>
    </xdr:from>
    <xdr:to>
      <xdr:col>11</xdr:col>
      <xdr:colOff>799413</xdr:colOff>
      <xdr:row>13</xdr:row>
      <xdr:rowOff>85998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73AF72C-BA59-4A01-8C7B-5E0EC468B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0" y="4038600"/>
          <a:ext cx="1247088" cy="4003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10</xdr:row>
      <xdr:rowOff>276225</xdr:rowOff>
    </xdr:from>
    <xdr:to>
      <xdr:col>12</xdr:col>
      <xdr:colOff>8838</xdr:colOff>
      <xdr:row>11</xdr:row>
      <xdr:rowOff>295548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4922FF-D4FD-4DF5-BA4F-3D272AEF5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9950" y="4086225"/>
          <a:ext cx="1247088" cy="400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590178</xdr:colOff>
      <xdr:row>7</xdr:row>
      <xdr:rowOff>135036</xdr:rowOff>
    </xdr:from>
    <xdr:to>
      <xdr:col>13</xdr:col>
      <xdr:colOff>244290</xdr:colOff>
      <xdr:row>17</xdr:row>
      <xdr:rowOff>211604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BF6555-C45D-4350-A1FB-F7D0CBC5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8060" y="2271624"/>
          <a:ext cx="2836583" cy="2586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268942</xdr:colOff>
      <xdr:row>18</xdr:row>
      <xdr:rowOff>89648</xdr:rowOff>
    </xdr:from>
    <xdr:to>
      <xdr:col>12</xdr:col>
      <xdr:colOff>272177</xdr:colOff>
      <xdr:row>20</xdr:row>
      <xdr:rowOff>97765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C50B684-BC22-4E77-9080-457ED62C5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0530" y="5009030"/>
          <a:ext cx="1247088" cy="4003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465667</xdr:colOff>
      <xdr:row>17</xdr:row>
      <xdr:rowOff>116416</xdr:rowOff>
    </xdr:from>
    <xdr:to>
      <xdr:col>13</xdr:col>
      <xdr:colOff>61755</xdr:colOff>
      <xdr:row>18</xdr:row>
      <xdr:rowOff>252156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E118A5-3225-47A6-9F28-018317366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4834" y="4656666"/>
          <a:ext cx="1247088" cy="4003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656167</xdr:colOff>
      <xdr:row>17</xdr:row>
      <xdr:rowOff>52916</xdr:rowOff>
    </xdr:from>
    <xdr:to>
      <xdr:col>13</xdr:col>
      <xdr:colOff>252255</xdr:colOff>
      <xdr:row>18</xdr:row>
      <xdr:rowOff>93406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F65B52F-801F-46E0-94D4-8A2409A5D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67167" y="4646083"/>
          <a:ext cx="1247088" cy="4003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740834</xdr:colOff>
      <xdr:row>14</xdr:row>
      <xdr:rowOff>42334</xdr:rowOff>
    </xdr:from>
    <xdr:to>
      <xdr:col>8</xdr:col>
      <xdr:colOff>495672</xdr:colOff>
      <xdr:row>15</xdr:row>
      <xdr:rowOff>82824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429146-7D53-4668-8B5F-DB9377757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0751" y="4709584"/>
          <a:ext cx="1247088" cy="4003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531732</xdr:colOff>
      <xdr:row>23</xdr:row>
      <xdr:rowOff>95250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AF0AAA3-8D76-4A2A-8CC1-BC1F6AE66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76132" cy="469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9"/>
  <sheetViews>
    <sheetView showGridLines="0" tabSelected="1" zoomScale="97" zoomScaleNormal="97" zoomScalePageLayoutView="125" workbookViewId="0">
      <selection activeCell="A31" sqref="A31:B31"/>
    </sheetView>
  </sheetViews>
  <sheetFormatPr defaultColWidth="10.875" defaultRowHeight="15.75" x14ac:dyDescent="0.25"/>
  <cols>
    <col min="1" max="1" width="28.625" style="78" customWidth="1"/>
    <col min="2" max="2" width="10" style="78" bestFit="1" customWidth="1"/>
    <col min="3" max="10" width="12.875" style="78" customWidth="1"/>
    <col min="11" max="16384" width="10.875" style="78"/>
  </cols>
  <sheetData>
    <row r="1" spans="1:9" s="73" customFormat="1" ht="29.25" customHeight="1" x14ac:dyDescent="0.25">
      <c r="A1" s="181" t="s">
        <v>137</v>
      </c>
      <c r="B1" s="181"/>
      <c r="C1" s="181"/>
      <c r="D1" s="181"/>
      <c r="E1" s="181"/>
      <c r="F1" s="181"/>
      <c r="G1" s="181"/>
      <c r="H1" s="181"/>
      <c r="I1" s="181"/>
    </row>
    <row r="2" spans="1:9" s="73" customFormat="1" ht="15.95" customHeight="1" x14ac:dyDescent="0.25">
      <c r="A2" s="74" t="s">
        <v>26</v>
      </c>
      <c r="B2" s="75" t="s">
        <v>69</v>
      </c>
      <c r="C2" s="76" t="s">
        <v>101</v>
      </c>
      <c r="D2" s="76" t="s">
        <v>102</v>
      </c>
      <c r="E2" s="76" t="s">
        <v>103</v>
      </c>
      <c r="F2" s="76" t="s">
        <v>104</v>
      </c>
      <c r="G2" s="76" t="s">
        <v>105</v>
      </c>
      <c r="H2" s="76" t="s">
        <v>106</v>
      </c>
      <c r="I2" s="76" t="s">
        <v>107</v>
      </c>
    </row>
    <row r="3" spans="1:9" ht="28.5" customHeight="1" x14ac:dyDescent="0.25">
      <c r="A3" s="77" t="s">
        <v>121</v>
      </c>
      <c r="B3" s="71">
        <f>Procedimentos!$B3</f>
        <v>80</v>
      </c>
      <c r="C3" s="72">
        <f>Procedimentos!E3</f>
        <v>210</v>
      </c>
      <c r="D3" s="72">
        <f>Procedimentos!H3</f>
        <v>198</v>
      </c>
      <c r="E3" s="72">
        <f>Procedimentos!K3</f>
        <v>201</v>
      </c>
      <c r="F3" s="72">
        <f>Procedimentos!N3</f>
        <v>178</v>
      </c>
      <c r="G3" s="72">
        <f>Procedimentos!Q3</f>
        <v>195</v>
      </c>
      <c r="H3" s="72">
        <f>Procedimentos!T3</f>
        <v>205</v>
      </c>
      <c r="I3" s="72">
        <f>Procedimentos!W3</f>
        <v>211</v>
      </c>
    </row>
    <row r="4" spans="1:9" ht="28.5" customHeight="1" x14ac:dyDescent="0.25">
      <c r="A4" s="77" t="s">
        <v>122</v>
      </c>
      <c r="B4" s="71">
        <f>Procedimentos!$B4</f>
        <v>240</v>
      </c>
      <c r="C4" s="72">
        <f>Procedimentos!E4</f>
        <v>24</v>
      </c>
      <c r="D4" s="72">
        <f>Procedimentos!H4</f>
        <v>22</v>
      </c>
      <c r="E4" s="72">
        <f>Procedimentos!K4</f>
        <v>23</v>
      </c>
      <c r="F4" s="72">
        <f>Procedimentos!N4</f>
        <v>20</v>
      </c>
      <c r="G4" s="72">
        <f>Procedimentos!Q4</f>
        <v>22</v>
      </c>
      <c r="H4" s="72">
        <f>Procedimentos!T4</f>
        <v>23</v>
      </c>
      <c r="I4" s="72">
        <f>Procedimentos!W4</f>
        <v>24</v>
      </c>
    </row>
    <row r="5" spans="1:9" ht="28.5" customHeight="1" x14ac:dyDescent="0.25">
      <c r="A5" s="77" t="s">
        <v>123</v>
      </c>
      <c r="B5" s="71">
        <f>Procedimentos!$B5</f>
        <v>160</v>
      </c>
      <c r="C5" s="72">
        <f>Procedimentos!E5</f>
        <v>70</v>
      </c>
      <c r="D5" s="72">
        <f>Procedimentos!H5</f>
        <v>66</v>
      </c>
      <c r="E5" s="72">
        <f>Procedimentos!K5</f>
        <v>67</v>
      </c>
      <c r="F5" s="72">
        <f>Procedimentos!N5</f>
        <v>59</v>
      </c>
      <c r="G5" s="72">
        <f>Procedimentos!Q5</f>
        <v>65</v>
      </c>
      <c r="H5" s="72">
        <f>Procedimentos!T5</f>
        <v>68</v>
      </c>
      <c r="I5" s="72">
        <f>Procedimentos!W5</f>
        <v>70</v>
      </c>
    </row>
    <row r="6" spans="1:9" s="73" customFormat="1" ht="28.5" customHeight="1" x14ac:dyDescent="0.25">
      <c r="A6" s="77" t="s">
        <v>124</v>
      </c>
      <c r="B6" s="71">
        <f>Procedimentos!$B6</f>
        <v>900</v>
      </c>
      <c r="C6" s="72">
        <f>Procedimentos!E6</f>
        <v>8</v>
      </c>
      <c r="D6" s="72">
        <f>Procedimentos!H6</f>
        <v>8</v>
      </c>
      <c r="E6" s="72">
        <f>Procedimentos!K6</f>
        <v>8</v>
      </c>
      <c r="F6" s="72">
        <f>Procedimentos!N6</f>
        <v>7</v>
      </c>
      <c r="G6" s="72">
        <f>Procedimentos!Q6</f>
        <v>8</v>
      </c>
      <c r="H6" s="72">
        <f>Procedimentos!T6</f>
        <v>8</v>
      </c>
      <c r="I6" s="72">
        <f>Procedimentos!W6</f>
        <v>8</v>
      </c>
    </row>
    <row r="7" spans="1:9" s="73" customFormat="1" ht="20.25" customHeight="1" x14ac:dyDescent="0.25"/>
    <row r="8" spans="1:9" s="73" customFormat="1" ht="24.95" customHeight="1" x14ac:dyDescent="0.25">
      <c r="A8" s="79" t="s">
        <v>26</v>
      </c>
      <c r="B8" s="80" t="s">
        <v>69</v>
      </c>
      <c r="C8" s="81" t="s">
        <v>126</v>
      </c>
      <c r="D8" s="81" t="s">
        <v>127</v>
      </c>
      <c r="E8" s="81" t="s">
        <v>128</v>
      </c>
      <c r="F8" s="81" t="s">
        <v>129</v>
      </c>
      <c r="G8" s="81" t="s">
        <v>130</v>
      </c>
      <c r="H8" s="81" t="s">
        <v>131</v>
      </c>
      <c r="I8" s="81" t="s">
        <v>132</v>
      </c>
    </row>
    <row r="9" spans="1:9" s="73" customFormat="1" ht="28.5" customHeight="1" x14ac:dyDescent="0.25">
      <c r="A9" s="77" t="s">
        <v>121</v>
      </c>
      <c r="B9" s="71">
        <f>B3</f>
        <v>80</v>
      </c>
      <c r="C9" s="82">
        <f>B$3*C$3</f>
        <v>16800</v>
      </c>
      <c r="D9" s="72">
        <f>B3*D3</f>
        <v>15840</v>
      </c>
      <c r="E9" s="72">
        <f>B3*E3</f>
        <v>16080</v>
      </c>
      <c r="F9" s="72">
        <f>B3*F3</f>
        <v>14240</v>
      </c>
      <c r="G9" s="72">
        <f>B3*G3</f>
        <v>15600</v>
      </c>
      <c r="H9" s="72">
        <f>B3*H3</f>
        <v>16400</v>
      </c>
      <c r="I9" s="72">
        <f>B3*I3</f>
        <v>16880</v>
      </c>
    </row>
    <row r="10" spans="1:9" s="73" customFormat="1" ht="28.5" customHeight="1" x14ac:dyDescent="0.25">
      <c r="A10" s="77" t="s">
        <v>122</v>
      </c>
      <c r="B10" s="71">
        <f>B4</f>
        <v>240</v>
      </c>
      <c r="C10" s="72">
        <f>B4*C4</f>
        <v>5760</v>
      </c>
      <c r="D10" s="83">
        <f>B4*D4</f>
        <v>5280</v>
      </c>
      <c r="E10" s="72">
        <f>B4*E4</f>
        <v>5520</v>
      </c>
      <c r="F10" s="72">
        <f>B4*F4</f>
        <v>4800</v>
      </c>
      <c r="G10" s="72">
        <f>B4*G4</f>
        <v>5280</v>
      </c>
      <c r="H10" s="72">
        <f>B4*H4</f>
        <v>5520</v>
      </c>
      <c r="I10" s="72">
        <f>B4*I4</f>
        <v>5760</v>
      </c>
    </row>
    <row r="11" spans="1:9" s="73" customFormat="1" ht="28.5" customHeight="1" x14ac:dyDescent="0.25">
      <c r="A11" s="77" t="s">
        <v>123</v>
      </c>
      <c r="B11" s="71">
        <f>B5</f>
        <v>160</v>
      </c>
      <c r="C11" s="72">
        <f>B5*C5</f>
        <v>11200</v>
      </c>
      <c r="D11" s="72">
        <f>B5*D5</f>
        <v>10560</v>
      </c>
      <c r="E11" s="83">
        <f>B5*E5</f>
        <v>10720</v>
      </c>
      <c r="F11" s="72">
        <f>B5*F5</f>
        <v>9440</v>
      </c>
      <c r="G11" s="72">
        <f>B5*G5</f>
        <v>10400</v>
      </c>
      <c r="H11" s="72">
        <f>B5*H5</f>
        <v>10880</v>
      </c>
      <c r="I11" s="72">
        <f>B5*I5</f>
        <v>11200</v>
      </c>
    </row>
    <row r="12" spans="1:9" ht="28.5" customHeight="1" x14ac:dyDescent="0.25">
      <c r="A12" s="77" t="s">
        <v>124</v>
      </c>
      <c r="B12" s="71">
        <f>B6</f>
        <v>900</v>
      </c>
      <c r="C12" s="72">
        <f>B6*C6</f>
        <v>7200</v>
      </c>
      <c r="D12" s="72">
        <f>B6*D6</f>
        <v>7200</v>
      </c>
      <c r="E12" s="72">
        <f>B6*E6</f>
        <v>7200</v>
      </c>
      <c r="F12" s="83">
        <f>B6*F6</f>
        <v>6300</v>
      </c>
      <c r="G12" s="72">
        <f>B6*G6</f>
        <v>7200</v>
      </c>
      <c r="H12" s="72">
        <f>B6*H6</f>
        <v>7200</v>
      </c>
      <c r="I12" s="72">
        <f>B6*I6</f>
        <v>7200</v>
      </c>
    </row>
    <row r="13" spans="1:9" s="73" customFormat="1" ht="24.95" customHeight="1" x14ac:dyDescent="0.35">
      <c r="A13" s="179" t="s">
        <v>117</v>
      </c>
      <c r="B13" s="180"/>
      <c r="C13" s="84">
        <f>SUM(C9:C12)</f>
        <v>40960</v>
      </c>
      <c r="D13" s="84">
        <f t="shared" ref="D13:I13" si="0">SUM(D9:D12)</f>
        <v>38880</v>
      </c>
      <c r="E13" s="84">
        <f t="shared" si="0"/>
        <v>39520</v>
      </c>
      <c r="F13" s="84">
        <f t="shared" si="0"/>
        <v>34780</v>
      </c>
      <c r="G13" s="84">
        <f t="shared" si="0"/>
        <v>38480</v>
      </c>
      <c r="H13" s="84">
        <f t="shared" si="0"/>
        <v>40000</v>
      </c>
      <c r="I13" s="84">
        <f t="shared" si="0"/>
        <v>41040</v>
      </c>
    </row>
    <row r="14" spans="1:9" ht="20.25" customHeight="1" x14ac:dyDescent="0.25"/>
    <row r="15" spans="1:9" ht="33" customHeight="1" x14ac:dyDescent="0.25">
      <c r="A15" s="181" t="s">
        <v>136</v>
      </c>
      <c r="B15" s="181"/>
      <c r="C15" s="181"/>
      <c r="D15" s="181"/>
      <c r="E15" s="181"/>
      <c r="F15" s="181"/>
      <c r="G15" s="181"/>
      <c r="H15" s="181"/>
      <c r="I15" s="181"/>
    </row>
    <row r="16" spans="1:9" ht="28.5" customHeight="1" x14ac:dyDescent="0.25">
      <c r="A16" s="174" t="s">
        <v>108</v>
      </c>
      <c r="B16" s="175"/>
      <c r="C16" s="76" t="s">
        <v>78</v>
      </c>
      <c r="D16" s="76" t="s">
        <v>79</v>
      </c>
      <c r="E16" s="76" t="s">
        <v>80</v>
      </c>
      <c r="F16" s="76" t="s">
        <v>81</v>
      </c>
      <c r="G16" s="76" t="s">
        <v>82</v>
      </c>
      <c r="H16" s="76" t="s">
        <v>83</v>
      </c>
      <c r="I16" s="76" t="s">
        <v>84</v>
      </c>
    </row>
    <row r="17" spans="1:9" ht="28.5" customHeight="1" x14ac:dyDescent="0.25">
      <c r="A17" s="176" t="s">
        <v>121</v>
      </c>
      <c r="B17" s="176"/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</row>
    <row r="18" spans="1:9" s="73" customFormat="1" ht="28.5" customHeight="1" x14ac:dyDescent="0.25">
      <c r="A18" s="176" t="s">
        <v>122</v>
      </c>
      <c r="B18" s="176"/>
      <c r="C18" s="85">
        <f t="shared" ref="C18:I18" si="1">C$4*$B$4</f>
        <v>5760</v>
      </c>
      <c r="D18" s="85">
        <f t="shared" si="1"/>
        <v>5280</v>
      </c>
      <c r="E18" s="85">
        <f t="shared" si="1"/>
        <v>5520</v>
      </c>
      <c r="F18" s="86">
        <f t="shared" si="1"/>
        <v>4800</v>
      </c>
      <c r="G18" s="85">
        <f t="shared" si="1"/>
        <v>5280</v>
      </c>
      <c r="H18" s="85">
        <f t="shared" si="1"/>
        <v>5520</v>
      </c>
      <c r="I18" s="85">
        <f t="shared" si="1"/>
        <v>5760</v>
      </c>
    </row>
    <row r="19" spans="1:9" ht="28.5" customHeight="1" x14ac:dyDescent="0.25">
      <c r="A19" s="176" t="s">
        <v>123</v>
      </c>
      <c r="B19" s="176"/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</row>
    <row r="20" spans="1:9" ht="33" customHeight="1" x14ac:dyDescent="0.25">
      <c r="A20" s="176" t="s">
        <v>124</v>
      </c>
      <c r="B20" s="176"/>
      <c r="C20" s="85">
        <f>C$6*$B$6/2</f>
        <v>3600</v>
      </c>
      <c r="D20" s="85">
        <f t="shared" ref="D20:I20" si="2">D$6*$B$6/2</f>
        <v>3600</v>
      </c>
      <c r="E20" s="85">
        <f t="shared" si="2"/>
        <v>3600</v>
      </c>
      <c r="F20" s="85">
        <f t="shared" si="2"/>
        <v>3150</v>
      </c>
      <c r="G20" s="85">
        <f t="shared" si="2"/>
        <v>3600</v>
      </c>
      <c r="H20" s="86">
        <f t="shared" si="2"/>
        <v>3600</v>
      </c>
      <c r="I20" s="85">
        <f t="shared" si="2"/>
        <v>3600</v>
      </c>
    </row>
    <row r="21" spans="1:9" ht="28.5" customHeight="1" x14ac:dyDescent="0.25">
      <c r="A21" s="174" t="s">
        <v>109</v>
      </c>
      <c r="B21" s="175"/>
      <c r="C21" s="87" t="s">
        <v>78</v>
      </c>
      <c r="D21" s="87" t="s">
        <v>79</v>
      </c>
      <c r="E21" s="87" t="s">
        <v>80</v>
      </c>
      <c r="F21" s="87" t="s">
        <v>81</v>
      </c>
      <c r="G21" s="87" t="s">
        <v>82</v>
      </c>
      <c r="H21" s="87" t="s">
        <v>83</v>
      </c>
      <c r="I21" s="87" t="s">
        <v>84</v>
      </c>
    </row>
    <row r="22" spans="1:9" ht="28.5" customHeight="1" x14ac:dyDescent="0.25">
      <c r="A22" s="176" t="s">
        <v>121</v>
      </c>
      <c r="B22" s="176"/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</row>
    <row r="23" spans="1:9" ht="28.5" customHeight="1" x14ac:dyDescent="0.25">
      <c r="A23" s="176" t="s">
        <v>122</v>
      </c>
      <c r="B23" s="176"/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</row>
    <row r="24" spans="1:9" ht="28.5" customHeight="1" x14ac:dyDescent="0.25">
      <c r="A24" s="176" t="s">
        <v>123</v>
      </c>
      <c r="B24" s="176"/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</row>
    <row r="25" spans="1:9" ht="33" customHeight="1" x14ac:dyDescent="0.25">
      <c r="A25" s="176" t="s">
        <v>124</v>
      </c>
      <c r="B25" s="176"/>
      <c r="C25" s="85">
        <v>0</v>
      </c>
      <c r="D25" s="85">
        <f t="shared" ref="D25:I25" si="3">C$6*$B$6/2</f>
        <v>3600</v>
      </c>
      <c r="E25" s="85">
        <f t="shared" si="3"/>
        <v>3600</v>
      </c>
      <c r="F25" s="85">
        <f t="shared" si="3"/>
        <v>3600</v>
      </c>
      <c r="G25" s="85">
        <f t="shared" si="3"/>
        <v>3150</v>
      </c>
      <c r="H25" s="85">
        <f t="shared" si="3"/>
        <v>3600</v>
      </c>
      <c r="I25" s="85">
        <f t="shared" si="3"/>
        <v>3600</v>
      </c>
    </row>
    <row r="26" spans="1:9" ht="28.5" customHeight="1" x14ac:dyDescent="0.25">
      <c r="A26" s="174" t="s">
        <v>125</v>
      </c>
      <c r="B26" s="175"/>
      <c r="C26" s="76" t="s">
        <v>78</v>
      </c>
      <c r="D26" s="76" t="s">
        <v>79</v>
      </c>
      <c r="E26" s="76" t="s">
        <v>80</v>
      </c>
      <c r="F26" s="76" t="s">
        <v>81</v>
      </c>
      <c r="G26" s="76" t="s">
        <v>82</v>
      </c>
      <c r="H26" s="76" t="s">
        <v>83</v>
      </c>
      <c r="I26" s="76" t="s">
        <v>84</v>
      </c>
    </row>
    <row r="27" spans="1:9" ht="28.5" customHeight="1" x14ac:dyDescent="0.25">
      <c r="A27" s="176" t="s">
        <v>121</v>
      </c>
      <c r="B27" s="176"/>
      <c r="C27" s="88">
        <v>0</v>
      </c>
      <c r="D27" s="88">
        <v>0</v>
      </c>
      <c r="E27" s="85">
        <f>$B$3*C$3</f>
        <v>16800</v>
      </c>
      <c r="F27" s="86">
        <f>$B$3*D$3</f>
        <v>15840</v>
      </c>
      <c r="G27" s="85">
        <f>$B$3*E$3</f>
        <v>16080</v>
      </c>
      <c r="H27" s="85">
        <f>$B$3*F$3</f>
        <v>14240</v>
      </c>
      <c r="I27" s="85">
        <f>$B$3*G$3</f>
        <v>15600</v>
      </c>
    </row>
    <row r="28" spans="1:9" ht="28.5" customHeight="1" x14ac:dyDescent="0.25">
      <c r="A28" s="176" t="s">
        <v>122</v>
      </c>
      <c r="B28" s="176"/>
      <c r="C28" s="88">
        <v>0</v>
      </c>
      <c r="D28" s="88">
        <v>0</v>
      </c>
      <c r="E28" s="85">
        <v>0</v>
      </c>
      <c r="F28" s="85">
        <v>0</v>
      </c>
      <c r="G28" s="88">
        <v>0</v>
      </c>
      <c r="H28" s="88">
        <v>0</v>
      </c>
      <c r="I28" s="88">
        <v>0</v>
      </c>
    </row>
    <row r="29" spans="1:9" ht="28.5" customHeight="1" x14ac:dyDescent="0.25">
      <c r="A29" s="176" t="s">
        <v>123</v>
      </c>
      <c r="B29" s="176"/>
      <c r="C29" s="88">
        <v>0</v>
      </c>
      <c r="D29" s="88">
        <v>0</v>
      </c>
      <c r="E29" s="85">
        <f>$B$5*C$5</f>
        <v>11200</v>
      </c>
      <c r="F29" s="85">
        <f>$B$5*D$5</f>
        <v>10560</v>
      </c>
      <c r="G29" s="86">
        <f>$B$5*E$5</f>
        <v>10720</v>
      </c>
      <c r="H29" s="85">
        <f>$B$5*F$5</f>
        <v>9440</v>
      </c>
      <c r="I29" s="85">
        <f>$B$5*G$5</f>
        <v>10400</v>
      </c>
    </row>
    <row r="30" spans="1:9" ht="30" customHeight="1" thickBot="1" x14ac:dyDescent="0.3">
      <c r="A30" s="176" t="s">
        <v>124</v>
      </c>
      <c r="B30" s="176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9" ht="30" customHeight="1" thickTop="1" x14ac:dyDescent="0.25">
      <c r="A31" s="177" t="s">
        <v>55</v>
      </c>
      <c r="B31" s="178"/>
      <c r="C31" s="89">
        <f>SUM(C17:C20,C22:C25,C27:C30)</f>
        <v>9360</v>
      </c>
      <c r="D31" s="89">
        <f t="shared" ref="D31:I31" si="4">SUM(D17:D20,D22:D25,D27:D30)</f>
        <v>12480</v>
      </c>
      <c r="E31" s="89">
        <f t="shared" si="4"/>
        <v>40720</v>
      </c>
      <c r="F31" s="89">
        <f t="shared" si="4"/>
        <v>37950</v>
      </c>
      <c r="G31" s="89">
        <f t="shared" si="4"/>
        <v>38830</v>
      </c>
      <c r="H31" s="89">
        <f t="shared" si="4"/>
        <v>36400</v>
      </c>
      <c r="I31" s="89">
        <f t="shared" si="4"/>
        <v>38960</v>
      </c>
    </row>
    <row r="32" spans="1:9" x14ac:dyDescent="0.25">
      <c r="A32" s="199" t="s">
        <v>172</v>
      </c>
      <c r="B32" s="200"/>
      <c r="C32" s="200"/>
      <c r="D32" s="200"/>
    </row>
    <row r="33" spans="1:9" x14ac:dyDescent="0.25">
      <c r="A33" s="199" t="s">
        <v>173</v>
      </c>
      <c r="B33" s="200"/>
      <c r="C33" s="200"/>
      <c r="D33" s="200"/>
    </row>
    <row r="34" spans="1:9" x14ac:dyDescent="0.25">
      <c r="A34" s="199" t="s">
        <v>174</v>
      </c>
      <c r="B34" s="200"/>
      <c r="C34" s="200"/>
      <c r="D34" s="200"/>
    </row>
    <row r="35" spans="1:9" x14ac:dyDescent="0.25">
      <c r="A35" s="199" t="s">
        <v>175</v>
      </c>
      <c r="B35" s="200"/>
      <c r="C35" s="200"/>
      <c r="D35" s="200"/>
    </row>
    <row r="37" spans="1:9" ht="30" customHeight="1" x14ac:dyDescent="0.25"/>
    <row r="38" spans="1:9" ht="30" customHeight="1" x14ac:dyDescent="0.25"/>
    <row r="39" spans="1:9" ht="30" customHeight="1" x14ac:dyDescent="0.25"/>
    <row r="40" spans="1:9" ht="30" customHeight="1" x14ac:dyDescent="0.25"/>
    <row r="41" spans="1:9" s="73" customFormat="1" ht="30" customHeight="1" x14ac:dyDescent="0.25">
      <c r="A41" s="78"/>
      <c r="B41" s="78"/>
      <c r="C41" s="78"/>
      <c r="D41" s="78"/>
      <c r="E41" s="78"/>
      <c r="F41" s="78"/>
      <c r="G41" s="78"/>
      <c r="H41" s="78"/>
      <c r="I41" s="78"/>
    </row>
    <row r="42" spans="1:9" s="73" customFormat="1" ht="30" customHeight="1" x14ac:dyDescent="0.25"/>
    <row r="43" spans="1:9" s="73" customFormat="1" ht="30" customHeight="1" x14ac:dyDescent="0.25"/>
    <row r="44" spans="1:9" s="73" customFormat="1" ht="30" customHeight="1" x14ac:dyDescent="0.25"/>
    <row r="45" spans="1:9" s="73" customFormat="1" ht="30" customHeight="1" x14ac:dyDescent="0.25"/>
    <row r="46" spans="1:9" s="73" customFormat="1" ht="30" customHeight="1" x14ac:dyDescent="0.25"/>
    <row r="47" spans="1:9" s="73" customFormat="1" ht="30" customHeight="1" x14ac:dyDescent="0.25"/>
    <row r="48" spans="1:9" s="73" customFormat="1" ht="30" customHeight="1" x14ac:dyDescent="0.25"/>
    <row r="49" spans="1:9" s="73" customFormat="1" ht="30" customHeight="1" x14ac:dyDescent="0.25"/>
    <row r="50" spans="1:9" s="73" customFormat="1" ht="30" customHeight="1" x14ac:dyDescent="0.25"/>
    <row r="51" spans="1:9" s="73" customFormat="1" ht="30" customHeight="1" x14ac:dyDescent="0.25"/>
    <row r="52" spans="1:9" s="73" customFormat="1" ht="30" customHeight="1" x14ac:dyDescent="0.25"/>
    <row r="53" spans="1:9" s="73" customFormat="1" ht="30" customHeight="1" x14ac:dyDescent="0.25"/>
    <row r="54" spans="1:9" s="73" customFormat="1" ht="30" customHeight="1" x14ac:dyDescent="0.25"/>
    <row r="55" spans="1:9" s="90" customFormat="1" ht="32.1" customHeight="1" x14ac:dyDescent="0.25">
      <c r="A55" s="73"/>
      <c r="B55" s="73"/>
      <c r="C55" s="73"/>
      <c r="D55" s="73"/>
      <c r="E55" s="73"/>
      <c r="F55" s="73"/>
      <c r="G55" s="73"/>
      <c r="H55" s="73"/>
      <c r="I55" s="73"/>
    </row>
    <row r="56" spans="1:9" s="90" customFormat="1" ht="30" customHeight="1" x14ac:dyDescent="0.25">
      <c r="A56" s="78"/>
      <c r="B56" s="78"/>
      <c r="C56" s="78"/>
      <c r="D56" s="78"/>
      <c r="E56" s="78"/>
      <c r="F56" s="78"/>
      <c r="G56" s="78"/>
      <c r="H56" s="78"/>
      <c r="I56" s="78"/>
    </row>
    <row r="57" spans="1:9" s="73" customFormat="1" ht="30" customHeight="1" x14ac:dyDescent="0.25">
      <c r="A57" s="78"/>
      <c r="B57" s="78"/>
      <c r="C57" s="78"/>
      <c r="D57" s="78"/>
      <c r="E57" s="78"/>
      <c r="F57" s="78"/>
      <c r="G57" s="78"/>
      <c r="H57" s="78"/>
      <c r="I57" s="78"/>
    </row>
    <row r="58" spans="1:9" s="73" customFormat="1" ht="30" customHeight="1" x14ac:dyDescent="0.25"/>
    <row r="59" spans="1:9" s="73" customFormat="1" ht="30" customHeight="1" x14ac:dyDescent="0.25"/>
    <row r="60" spans="1:9" s="73" customFormat="1" ht="30" customHeight="1" x14ac:dyDescent="0.25"/>
    <row r="61" spans="1:9" s="73" customFormat="1" ht="30" customHeight="1" x14ac:dyDescent="0.25"/>
    <row r="62" spans="1:9" s="73" customFormat="1" ht="30" customHeight="1" x14ac:dyDescent="0.25"/>
    <row r="63" spans="1:9" s="73" customFormat="1" ht="30" customHeight="1" x14ac:dyDescent="0.25"/>
    <row r="64" spans="1:9" s="90" customFormat="1" ht="30" customHeight="1" x14ac:dyDescent="0.25">
      <c r="A64" s="73"/>
      <c r="B64" s="73"/>
      <c r="C64" s="73"/>
      <c r="D64" s="73"/>
      <c r="E64" s="73"/>
      <c r="F64" s="73"/>
      <c r="G64" s="73"/>
      <c r="H64" s="73"/>
      <c r="I64" s="73"/>
    </row>
    <row r="65" spans="1:9" s="90" customFormat="1" ht="30" customHeight="1" x14ac:dyDescent="0.25">
      <c r="A65" s="78"/>
      <c r="B65" s="78"/>
      <c r="C65" s="78"/>
      <c r="D65" s="78"/>
      <c r="E65" s="78"/>
      <c r="F65" s="78"/>
      <c r="G65" s="78"/>
      <c r="H65" s="78"/>
      <c r="I65" s="78"/>
    </row>
    <row r="66" spans="1:9" s="90" customFormat="1" ht="30.95" customHeight="1" x14ac:dyDescent="0.25">
      <c r="A66" s="78"/>
      <c r="B66" s="78"/>
      <c r="C66" s="78"/>
      <c r="D66" s="78"/>
      <c r="E66" s="78"/>
      <c r="F66" s="78"/>
      <c r="G66" s="78"/>
      <c r="H66" s="78"/>
      <c r="I66" s="78"/>
    </row>
    <row r="67" spans="1:9" s="90" customFormat="1" ht="30" customHeight="1" x14ac:dyDescent="0.25">
      <c r="A67" s="78"/>
      <c r="B67" s="78"/>
      <c r="C67" s="78"/>
      <c r="D67" s="78"/>
      <c r="E67" s="78"/>
      <c r="F67" s="78"/>
      <c r="G67" s="78"/>
      <c r="H67" s="78"/>
      <c r="I67" s="78"/>
    </row>
    <row r="68" spans="1:9" ht="81.95" customHeight="1" x14ac:dyDescent="0.25"/>
    <row r="69" spans="1:9" ht="30" customHeight="1" x14ac:dyDescent="0.25"/>
    <row r="77" spans="1:9" ht="30" customHeight="1" x14ac:dyDescent="0.25"/>
    <row r="78" spans="1:9" ht="30" customHeight="1" x14ac:dyDescent="0.25"/>
    <row r="79" spans="1:9" ht="30" customHeight="1" x14ac:dyDescent="0.25"/>
    <row r="80" spans="1:9" ht="30" customHeight="1" x14ac:dyDescent="0.25"/>
    <row r="81" spans="1:9" ht="30" customHeight="1" x14ac:dyDescent="0.25"/>
    <row r="82" spans="1:9" ht="99" customHeight="1" x14ac:dyDescent="0.25"/>
    <row r="83" spans="1:9" ht="30" customHeight="1" x14ac:dyDescent="0.25"/>
    <row r="85" spans="1:9" s="90" customFormat="1" ht="30" customHeight="1" x14ac:dyDescent="0.25">
      <c r="A85" s="78"/>
      <c r="B85" s="78"/>
      <c r="C85" s="78"/>
      <c r="D85" s="78"/>
      <c r="E85" s="78"/>
      <c r="F85" s="78"/>
      <c r="G85" s="78"/>
      <c r="H85" s="78"/>
      <c r="I85" s="78"/>
    </row>
    <row r="86" spans="1:9" s="90" customFormat="1" ht="30" customHeight="1" x14ac:dyDescent="0.25">
      <c r="A86" s="78"/>
      <c r="B86" s="78"/>
      <c r="C86" s="78"/>
      <c r="D86" s="78"/>
      <c r="E86" s="78"/>
      <c r="F86" s="78"/>
      <c r="G86" s="78"/>
      <c r="H86" s="78"/>
      <c r="I86" s="78"/>
    </row>
    <row r="87" spans="1:9" s="90" customFormat="1" ht="30" customHeight="1" x14ac:dyDescent="0.25">
      <c r="A87" s="78"/>
      <c r="B87" s="78"/>
      <c r="C87" s="78"/>
      <c r="D87" s="78"/>
      <c r="E87" s="78"/>
      <c r="F87" s="78"/>
      <c r="G87" s="78"/>
      <c r="H87" s="78"/>
      <c r="I87" s="78"/>
    </row>
    <row r="88" spans="1:9" s="90" customFormat="1" ht="30" customHeight="1" x14ac:dyDescent="0.25">
      <c r="A88" s="78"/>
      <c r="B88" s="78"/>
      <c r="C88" s="78"/>
      <c r="D88" s="78"/>
      <c r="E88" s="78"/>
      <c r="F88" s="78"/>
      <c r="G88" s="78"/>
      <c r="H88" s="78"/>
      <c r="I88" s="78"/>
    </row>
    <row r="89" spans="1:9" s="90" customFormat="1" ht="30" customHeight="1" x14ac:dyDescent="0.25">
      <c r="A89" s="78"/>
      <c r="B89" s="78"/>
      <c r="C89" s="78"/>
      <c r="D89" s="78"/>
      <c r="E89" s="78"/>
      <c r="F89" s="78"/>
      <c r="G89" s="78"/>
      <c r="H89" s="78"/>
      <c r="I89" s="78"/>
    </row>
    <row r="90" spans="1:9" s="90" customFormat="1" ht="30" customHeight="1" x14ac:dyDescent="0.25">
      <c r="A90" s="78"/>
      <c r="B90" s="78"/>
      <c r="C90" s="78"/>
      <c r="D90" s="78"/>
      <c r="E90" s="78"/>
      <c r="F90" s="78"/>
      <c r="G90" s="78"/>
      <c r="H90" s="78"/>
      <c r="I90" s="78"/>
    </row>
    <row r="91" spans="1:9" s="90" customFormat="1" ht="30" customHeight="1" x14ac:dyDescent="0.25">
      <c r="A91" s="78"/>
      <c r="B91" s="78"/>
      <c r="C91" s="78"/>
      <c r="D91" s="78"/>
      <c r="E91" s="78"/>
      <c r="F91" s="78"/>
      <c r="G91" s="78"/>
      <c r="H91" s="78"/>
      <c r="I91" s="78"/>
    </row>
    <row r="92" spans="1:9" s="90" customFormat="1" ht="30" customHeight="1" x14ac:dyDescent="0.25">
      <c r="A92" s="78"/>
      <c r="B92" s="78"/>
      <c r="C92" s="78"/>
      <c r="D92" s="78"/>
      <c r="E92" s="78"/>
      <c r="F92" s="78"/>
      <c r="G92" s="78"/>
      <c r="H92" s="78"/>
      <c r="I92" s="78"/>
    </row>
    <row r="93" spans="1:9" s="90" customFormat="1" ht="30" customHeight="1" x14ac:dyDescent="0.25">
      <c r="A93" s="78"/>
      <c r="B93" s="78"/>
      <c r="C93" s="78"/>
      <c r="D93" s="78"/>
      <c r="E93" s="78"/>
      <c r="F93" s="78"/>
      <c r="G93" s="78"/>
      <c r="H93" s="78"/>
      <c r="I93" s="78"/>
    </row>
    <row r="94" spans="1:9" s="90" customFormat="1" ht="30" customHeight="1" x14ac:dyDescent="0.25">
      <c r="A94" s="78"/>
      <c r="B94" s="78"/>
      <c r="C94" s="78"/>
      <c r="D94" s="78"/>
      <c r="E94" s="78"/>
      <c r="F94" s="78"/>
      <c r="G94" s="78"/>
      <c r="H94" s="78"/>
      <c r="I94" s="78"/>
    </row>
    <row r="95" spans="1:9" s="90" customFormat="1" ht="30" customHeight="1" x14ac:dyDescent="0.25">
      <c r="A95" s="78"/>
      <c r="B95" s="78"/>
      <c r="C95" s="78"/>
      <c r="D95" s="78"/>
      <c r="E95" s="78"/>
      <c r="F95" s="78"/>
      <c r="G95" s="78"/>
      <c r="H95" s="78"/>
      <c r="I95" s="78"/>
    </row>
    <row r="96" spans="1:9" s="90" customFormat="1" ht="30" customHeight="1" x14ac:dyDescent="0.25">
      <c r="A96" s="78"/>
      <c r="B96" s="78"/>
      <c r="C96" s="78"/>
      <c r="D96" s="78"/>
      <c r="E96" s="78"/>
      <c r="F96" s="78"/>
      <c r="G96" s="78"/>
      <c r="H96" s="78"/>
      <c r="I96" s="78"/>
    </row>
    <row r="97" spans="1:9" s="90" customFormat="1" ht="30" customHeight="1" x14ac:dyDescent="0.25">
      <c r="A97" s="78"/>
      <c r="B97" s="78"/>
      <c r="C97" s="78"/>
      <c r="D97" s="78"/>
      <c r="E97" s="78"/>
      <c r="F97" s="78"/>
      <c r="G97" s="78"/>
      <c r="H97" s="78"/>
      <c r="I97" s="78"/>
    </row>
    <row r="98" spans="1:9" s="90" customFormat="1" ht="30" customHeight="1" x14ac:dyDescent="0.25">
      <c r="A98" s="78"/>
      <c r="B98" s="78"/>
      <c r="C98" s="78"/>
      <c r="D98" s="78"/>
      <c r="E98" s="78"/>
      <c r="F98" s="78"/>
      <c r="G98" s="78"/>
      <c r="H98" s="78"/>
      <c r="I98" s="78"/>
    </row>
    <row r="100" spans="1:9" ht="30" customHeight="1" x14ac:dyDescent="0.25"/>
    <row r="101" spans="1:9" ht="30" customHeight="1" x14ac:dyDescent="0.25"/>
    <row r="102" spans="1:9" ht="30" customHeight="1" x14ac:dyDescent="0.25"/>
    <row r="103" spans="1:9" ht="30" customHeight="1" x14ac:dyDescent="0.25"/>
    <row r="104" spans="1:9" ht="30" customHeight="1" x14ac:dyDescent="0.25"/>
    <row r="105" spans="1:9" ht="30" customHeight="1" x14ac:dyDescent="0.25">
      <c r="E105" s="91"/>
    </row>
    <row r="106" spans="1:9" ht="30" customHeight="1" x14ac:dyDescent="0.25">
      <c r="E106" s="91"/>
    </row>
    <row r="107" spans="1:9" x14ac:dyDescent="0.25">
      <c r="E107" s="91"/>
    </row>
    <row r="109" spans="1:9" ht="30" customHeight="1" x14ac:dyDescent="0.25">
      <c r="F109" s="92"/>
    </row>
    <row r="110" spans="1:9" ht="30" customHeight="1" x14ac:dyDescent="0.25">
      <c r="F110" s="93"/>
    </row>
    <row r="111" spans="1:9" ht="30" customHeight="1" x14ac:dyDescent="0.25">
      <c r="F111" s="93"/>
    </row>
    <row r="112" spans="1:9" ht="30" customHeight="1" x14ac:dyDescent="0.25">
      <c r="E112" s="91"/>
      <c r="F112" s="94"/>
      <c r="G112" s="94"/>
      <c r="H112" s="94"/>
      <c r="I112" s="94"/>
    </row>
    <row r="113" spans="6:9" x14ac:dyDescent="0.25">
      <c r="F113" s="95"/>
      <c r="H113" s="93"/>
      <c r="I113" s="93"/>
    </row>
    <row r="114" spans="6:9" x14ac:dyDescent="0.25">
      <c r="F114" s="95"/>
      <c r="H114" s="93"/>
      <c r="I114" s="93"/>
    </row>
    <row r="115" spans="6:9" x14ac:dyDescent="0.25">
      <c r="F115" s="95"/>
      <c r="H115" s="93"/>
      <c r="I115" s="93"/>
    </row>
    <row r="116" spans="6:9" x14ac:dyDescent="0.25">
      <c r="F116" s="95"/>
      <c r="H116" s="93"/>
      <c r="I116" s="93"/>
    </row>
    <row r="118" spans="6:9" x14ac:dyDescent="0.25">
      <c r="F118" s="92"/>
    </row>
    <row r="119" spans="6:9" x14ac:dyDescent="0.25">
      <c r="F119" s="92"/>
    </row>
  </sheetData>
  <sheetProtection algorithmName="SHA-512" hashValue="CXD+6J+KKPhSJAE1w03GSVSJiBXS5LNQulceReupnV5Eg+HTfZInObVOqftsRFyx5VNv3dInbIXW4EsHjZlffg==" saltValue="tXe4QF9ujpzjsEiKeKYK3w==" spinCount="100000" sheet="1" objects="1" scenarios="1"/>
  <mergeCells count="19">
    <mergeCell ref="A13:B13"/>
    <mergeCell ref="A15:I15"/>
    <mergeCell ref="A1:I1"/>
    <mergeCell ref="A19:B19"/>
    <mergeCell ref="A20:B20"/>
    <mergeCell ref="A21:B21"/>
    <mergeCell ref="A16:B16"/>
    <mergeCell ref="A17:B17"/>
    <mergeCell ref="A18:B18"/>
    <mergeCell ref="A31:B3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honeticPr fontId="28" type="noConversion"/>
  <pageMargins left="0.25" right="0.25" top="0.75000000000000011" bottom="0.75000000000000011" header="0.30000000000000004" footer="0.30000000000000004"/>
  <pageSetup paperSize="9" scale="94" orientation="landscape" horizontalDpi="4294967292" verticalDpi="4294967292" r:id="rId1"/>
  <headerFooter>
    <oddHeader>&amp;L&amp;"Calibri,Regular"&amp;K000000&amp;G&amp;C&amp;"Calibri,Regular"&amp;K000000Planejamento Financeiro&amp;R&amp;"Calibri,Regular"&amp;K000000&amp;G</oddHeader>
  </headerFooter>
  <rowBreaks count="1" manualBreakCount="1">
    <brk id="13" max="8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2"/>
  <sheetViews>
    <sheetView showGridLines="0" zoomScalePageLayoutView="125" workbookViewId="0">
      <selection activeCell="I12" sqref="A1:I12"/>
    </sheetView>
  </sheetViews>
  <sheetFormatPr defaultColWidth="10.875" defaultRowHeight="15.75" x14ac:dyDescent="0.25"/>
  <cols>
    <col min="1" max="1" width="26.875" style="31" customWidth="1"/>
    <col min="2" max="2" width="10.875" style="31"/>
    <col min="3" max="9" width="12.875" style="31" customWidth="1"/>
    <col min="10" max="16384" width="10.875" style="31"/>
  </cols>
  <sheetData>
    <row r="1" spans="1:9" s="30" customFormat="1" ht="29.25" customHeight="1" x14ac:dyDescent="0.25">
      <c r="A1" s="181" t="s">
        <v>134</v>
      </c>
      <c r="B1" s="181"/>
      <c r="C1" s="181"/>
      <c r="D1" s="181"/>
      <c r="E1" s="181"/>
      <c r="F1" s="181"/>
      <c r="G1" s="181"/>
      <c r="H1" s="181"/>
      <c r="I1" s="181"/>
    </row>
    <row r="2" spans="1:9" s="30" customFormat="1" ht="15.95" customHeight="1" x14ac:dyDescent="0.25">
      <c r="A2" s="74" t="s">
        <v>67</v>
      </c>
      <c r="B2" s="75" t="s">
        <v>70</v>
      </c>
      <c r="C2" s="75" t="s">
        <v>71</v>
      </c>
      <c r="D2" s="75" t="s">
        <v>72</v>
      </c>
      <c r="E2" s="75" t="s">
        <v>73</v>
      </c>
      <c r="F2" s="75" t="s">
        <v>74</v>
      </c>
      <c r="G2" s="75" t="s">
        <v>75</v>
      </c>
      <c r="H2" s="75" t="s">
        <v>76</v>
      </c>
      <c r="I2" s="75" t="s">
        <v>77</v>
      </c>
    </row>
    <row r="3" spans="1:9" ht="28.5" customHeight="1" x14ac:dyDescent="0.25">
      <c r="A3" s="96" t="s">
        <v>170</v>
      </c>
      <c r="B3" s="97">
        <v>0.14330000000000001</v>
      </c>
      <c r="C3" s="98">
        <f>SUM(Faturamento!C$10,Faturamento!C$12)*$B$3</f>
        <v>1857.1680000000001</v>
      </c>
      <c r="D3" s="98">
        <f>SUM(Faturamento!D$10,Faturamento!D$12)*$B$3</f>
        <v>1788.3840000000002</v>
      </c>
      <c r="E3" s="99">
        <f>SUM(Faturamento!E$10,Faturamento!E$12)*$B$3</f>
        <v>1822.7760000000001</v>
      </c>
      <c r="F3" s="98">
        <f>SUM(Faturamento!F$10,Faturamento!F$12)*$B$3</f>
        <v>1590.63</v>
      </c>
      <c r="G3" s="99">
        <f>SUM(Faturamento!G$10,Faturamento!G$12)*$B$3</f>
        <v>1788.3840000000002</v>
      </c>
      <c r="H3" s="98">
        <f>SUM(Faturamento!H$10,Faturamento!H$12)*$B$3</f>
        <v>1822.7760000000001</v>
      </c>
      <c r="I3" s="98">
        <f>SUM(Faturamento!I$10,Faturamento!I$12)*$B$3</f>
        <v>1857.1680000000001</v>
      </c>
    </row>
    <row r="4" spans="1:9" ht="28.5" customHeight="1" thickBot="1" x14ac:dyDescent="0.3">
      <c r="A4" s="100" t="s">
        <v>133</v>
      </c>
      <c r="B4" s="101">
        <v>0.30499999999999999</v>
      </c>
      <c r="C4" s="102">
        <f>SUM(Faturamento!C$9,Faturamento!C$11)*$B$4</f>
        <v>8540</v>
      </c>
      <c r="D4" s="103">
        <f>SUM(Faturamento!D$9,Faturamento!D$11)*$B$4</f>
        <v>8052</v>
      </c>
      <c r="E4" s="102">
        <f>SUM(Faturamento!E$9,Faturamento!E$11)*$B$4</f>
        <v>8174</v>
      </c>
      <c r="F4" s="102">
        <f>SUM(Faturamento!F$9,Faturamento!F$11)*$B$4</f>
        <v>7222.4</v>
      </c>
      <c r="G4" s="103">
        <f>SUM(Faturamento!G$9,Faturamento!G$11)*$B$4</f>
        <v>7930</v>
      </c>
      <c r="H4" s="102">
        <f>SUM(Faturamento!H$9,Faturamento!H$11)*$B$4</f>
        <v>8320.4</v>
      </c>
      <c r="I4" s="102">
        <f>SUM(Faturamento!I$9,Faturamento!I$11)*$B$4</f>
        <v>8564.4</v>
      </c>
    </row>
    <row r="5" spans="1:9" ht="28.5" customHeight="1" thickTop="1" x14ac:dyDescent="0.25">
      <c r="A5" s="177" t="s">
        <v>55</v>
      </c>
      <c r="B5" s="178"/>
      <c r="C5" s="104">
        <f>SUM(C$3:C$4)</f>
        <v>10397.168</v>
      </c>
      <c r="D5" s="105">
        <f t="shared" ref="D5:I5" si="0">SUM(D$3:D$4)</f>
        <v>9840.384</v>
      </c>
      <c r="E5" s="104">
        <f t="shared" si="0"/>
        <v>9996.7759999999998</v>
      </c>
      <c r="F5" s="104">
        <f t="shared" si="0"/>
        <v>8813.0299999999988</v>
      </c>
      <c r="G5" s="105">
        <f t="shared" si="0"/>
        <v>9718.384</v>
      </c>
      <c r="H5" s="104">
        <f t="shared" si="0"/>
        <v>10143.175999999999</v>
      </c>
      <c r="I5" s="104">
        <f t="shared" si="0"/>
        <v>10421.567999999999</v>
      </c>
    </row>
    <row r="6" spans="1:9" s="30" customFormat="1" ht="28.5" customHeight="1" x14ac:dyDescent="0.25">
      <c r="A6" s="106"/>
      <c r="B6" s="107"/>
      <c r="C6" s="108"/>
      <c r="D6" s="108"/>
      <c r="E6" s="108"/>
      <c r="F6" s="109"/>
      <c r="G6" s="108"/>
      <c r="H6" s="108"/>
      <c r="I6" s="108"/>
    </row>
    <row r="7" spans="1:9" s="30" customFormat="1" ht="20.25" customHeight="1" x14ac:dyDescent="0.25">
      <c r="A7" s="106"/>
      <c r="B7" s="107"/>
      <c r="C7" s="109"/>
      <c r="D7" s="108"/>
      <c r="E7" s="108"/>
      <c r="F7" s="108"/>
      <c r="G7" s="108"/>
      <c r="H7" s="108"/>
      <c r="I7" s="108"/>
    </row>
    <row r="8" spans="1:9" s="30" customFormat="1" ht="24.95" customHeight="1" x14ac:dyDescent="0.25">
      <c r="A8" s="181" t="s">
        <v>135</v>
      </c>
      <c r="B8" s="181"/>
      <c r="C8" s="181"/>
      <c r="D8" s="181"/>
      <c r="E8" s="181"/>
      <c r="F8" s="181"/>
      <c r="G8" s="181"/>
      <c r="H8" s="181"/>
      <c r="I8" s="181"/>
    </row>
    <row r="9" spans="1:9" s="30" customFormat="1" ht="28.5" customHeight="1" x14ac:dyDescent="0.25">
      <c r="A9" s="74" t="s">
        <v>67</v>
      </c>
      <c r="B9" s="75" t="s">
        <v>70</v>
      </c>
      <c r="C9" s="75" t="s">
        <v>71</v>
      </c>
      <c r="D9" s="75" t="s">
        <v>72</v>
      </c>
      <c r="E9" s="75" t="s">
        <v>73</v>
      </c>
      <c r="F9" s="75" t="s">
        <v>74</v>
      </c>
      <c r="G9" s="75" t="s">
        <v>75</v>
      </c>
      <c r="H9" s="75" t="s">
        <v>76</v>
      </c>
      <c r="I9" s="75" t="s">
        <v>77</v>
      </c>
    </row>
    <row r="10" spans="1:9" s="30" customFormat="1" ht="28.5" customHeight="1" x14ac:dyDescent="0.25">
      <c r="A10" s="96" t="s">
        <v>170</v>
      </c>
      <c r="B10" s="97">
        <v>0.14330000000000001</v>
      </c>
      <c r="C10" s="98">
        <f>SUM(Faturamento!C$18,Faturamento!C$20,Faturamento!C$23,Faturamento!C$25,Faturamento!C$28,Faturamento!C$30)*$B$10</f>
        <v>1341.288</v>
      </c>
      <c r="D10" s="98">
        <f>SUM(Faturamento!D$18,Faturamento!D$20,Faturamento!D$23,Faturamento!D$25,Faturamento!D$28,Faturamento!D$30)*$B$10</f>
        <v>1788.3840000000002</v>
      </c>
      <c r="E10" s="99">
        <f>SUM(Faturamento!E$18,Faturamento!E$20,Faturamento!E$23,Faturamento!E$25,Faturamento!E$28,Faturamento!E$30)*$B$10</f>
        <v>1822.7760000000001</v>
      </c>
      <c r="F10" s="98">
        <f>SUM(Faturamento!F$18,Faturamento!F$20,Faturamento!F$23,Faturamento!F$25,Faturamento!F$28,Faturamento!F$30)*$B$10</f>
        <v>1655.1150000000002</v>
      </c>
      <c r="G10" s="99">
        <f>SUM(Faturamento!G$18,Faturamento!G$20,Faturamento!G$23,Faturamento!G$25,Faturamento!G$28,Faturamento!G$30)*$B$10</f>
        <v>1723.8990000000001</v>
      </c>
      <c r="H10" s="98">
        <f>SUM(Faturamento!H$18,Faturamento!H$20,Faturamento!H$23,Faturamento!H$25,Faturamento!H$28,Faturamento!H$30)*$B$10</f>
        <v>1822.7760000000001</v>
      </c>
      <c r="I10" s="98">
        <f>SUM(Faturamento!I$18,Faturamento!I$20,Faturamento!I$23,Faturamento!I$25,Faturamento!I$28,Faturamento!I$30)*$B$10</f>
        <v>1857.1680000000001</v>
      </c>
    </row>
    <row r="11" spans="1:9" s="30" customFormat="1" ht="28.5" customHeight="1" thickBot="1" x14ac:dyDescent="0.3">
      <c r="A11" s="100" t="s">
        <v>133</v>
      </c>
      <c r="B11" s="101">
        <v>0.30499999999999999</v>
      </c>
      <c r="C11" s="102">
        <f>SUM(Faturamento!C$17,Faturamento!C$19,Faturamento!C$22,Faturamento!C$24,Faturamento!C$27,Faturamento!C$29)*$B$11</f>
        <v>0</v>
      </c>
      <c r="D11" s="103">
        <f>SUM(Faturamento!D$17,Faturamento!D$19,Faturamento!D$22,Faturamento!D$24,Faturamento!D$27,Faturamento!D$29)*$B$11</f>
        <v>0</v>
      </c>
      <c r="E11" s="102">
        <f>SUM(Faturamento!E$17,Faturamento!E$19,Faturamento!E$22,Faturamento!E$24,Faturamento!E$27,Faturamento!E$29)*$B$11</f>
        <v>8540</v>
      </c>
      <c r="F11" s="102">
        <f>SUM(Faturamento!F$17,Faturamento!F$19,Faturamento!F$22,Faturamento!F$24,Faturamento!F$27,Faturamento!F$29)*$B$11</f>
        <v>8052</v>
      </c>
      <c r="G11" s="102">
        <f>SUM(Faturamento!G$17,Faturamento!G$19,Faturamento!G$22,Faturamento!G$24,Faturamento!G$27,Faturamento!G$29)*$B$11</f>
        <v>8174</v>
      </c>
      <c r="H11" s="103">
        <f>SUM(Faturamento!H$17,Faturamento!H$19,Faturamento!H$22,Faturamento!H$24,Faturamento!H$27,Faturamento!H$29)*$B$11</f>
        <v>7222.4</v>
      </c>
      <c r="I11" s="102">
        <f>SUM(Faturamento!I$17,Faturamento!I$19,Faturamento!I$22,Faturamento!I$24,Faturamento!I$27,Faturamento!I$29)*$B$11</f>
        <v>7930</v>
      </c>
    </row>
    <row r="12" spans="1:9" ht="28.5" customHeight="1" thickTop="1" x14ac:dyDescent="0.25">
      <c r="A12" s="177" t="s">
        <v>55</v>
      </c>
      <c r="B12" s="178"/>
      <c r="C12" s="104">
        <f>SUM(C$10:C$11)</f>
        <v>1341.288</v>
      </c>
      <c r="D12" s="105">
        <f>SUM(D$10:D$11)</f>
        <v>1788.3840000000002</v>
      </c>
      <c r="E12" s="104">
        <f t="shared" ref="E12:I12" si="1">SUM(E$10:E$11)</f>
        <v>10362.776</v>
      </c>
      <c r="F12" s="104">
        <f t="shared" si="1"/>
        <v>9707.1149999999998</v>
      </c>
      <c r="G12" s="105">
        <f t="shared" si="1"/>
        <v>9897.8989999999994</v>
      </c>
      <c r="H12" s="105">
        <f t="shared" si="1"/>
        <v>9045.1759999999995</v>
      </c>
      <c r="I12" s="104">
        <f t="shared" si="1"/>
        <v>9787.1679999999997</v>
      </c>
    </row>
    <row r="13" spans="1:9" s="30" customFormat="1" ht="24.95" customHeight="1" x14ac:dyDescent="0.25"/>
    <row r="14" spans="1:9" ht="20.25" customHeight="1" x14ac:dyDescent="0.25"/>
    <row r="15" spans="1:9" ht="33" customHeight="1" x14ac:dyDescent="0.25"/>
    <row r="16" spans="1:9" ht="28.5" customHeight="1" x14ac:dyDescent="0.25"/>
    <row r="17" ht="28.5" customHeight="1" x14ac:dyDescent="0.25"/>
    <row r="18" s="30" customFormat="1" ht="28.5" customHeight="1" x14ac:dyDescent="0.25"/>
    <row r="19" ht="28.5" customHeight="1" x14ac:dyDescent="0.25"/>
    <row r="20" ht="33" customHeight="1" x14ac:dyDescent="0.25"/>
    <row r="21" ht="28.5" customHeight="1" x14ac:dyDescent="0.25"/>
    <row r="22" ht="28.5" customHeight="1" x14ac:dyDescent="0.25"/>
    <row r="23" ht="28.5" customHeight="1" x14ac:dyDescent="0.25"/>
    <row r="24" ht="28.5" customHeight="1" x14ac:dyDescent="0.25"/>
    <row r="25" ht="33" customHeight="1" x14ac:dyDescent="0.25"/>
    <row r="26" ht="28.5" customHeight="1" x14ac:dyDescent="0.25"/>
    <row r="27" ht="28.5" customHeight="1" x14ac:dyDescent="0.25"/>
    <row r="28" ht="28.5" customHeight="1" x14ac:dyDescent="0.25"/>
    <row r="29" ht="28.5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s="30" customFormat="1" ht="30" customHeight="1" x14ac:dyDescent="0.25"/>
    <row r="42" s="30" customFormat="1" ht="30" customHeight="1" x14ac:dyDescent="0.25"/>
    <row r="43" s="30" customFormat="1" ht="30" customHeight="1" x14ac:dyDescent="0.25"/>
    <row r="44" s="30" customFormat="1" ht="30" customHeight="1" x14ac:dyDescent="0.25"/>
    <row r="45" s="30" customFormat="1" ht="30" customHeight="1" x14ac:dyDescent="0.25"/>
    <row r="46" s="30" customFormat="1" ht="30" customHeight="1" x14ac:dyDescent="0.25"/>
    <row r="47" s="30" customFormat="1" ht="30" customHeight="1" x14ac:dyDescent="0.25"/>
    <row r="48" s="30" customFormat="1" ht="30" customHeight="1" x14ac:dyDescent="0.25"/>
    <row r="49" spans="1:9" s="30" customFormat="1" ht="30" customHeight="1" x14ac:dyDescent="0.25"/>
    <row r="50" spans="1:9" s="30" customFormat="1" ht="30" customHeight="1" x14ac:dyDescent="0.25"/>
    <row r="51" spans="1:9" s="30" customFormat="1" ht="30" customHeight="1" x14ac:dyDescent="0.25"/>
    <row r="52" spans="1:9" s="30" customFormat="1" ht="30" customHeight="1" x14ac:dyDescent="0.25"/>
    <row r="53" spans="1:9" s="30" customFormat="1" ht="30" customHeight="1" x14ac:dyDescent="0.25"/>
    <row r="54" spans="1:9" s="30" customFormat="1" ht="30" customHeight="1" x14ac:dyDescent="0.25"/>
    <row r="55" spans="1:9" s="32" customFormat="1" ht="32.1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</row>
    <row r="56" spans="1:9" s="32" customFormat="1" ht="30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</row>
    <row r="57" spans="1:9" s="30" customFormat="1" ht="30" customHeight="1" x14ac:dyDescent="0.25"/>
    <row r="58" spans="1:9" s="30" customFormat="1" ht="30" customHeight="1" x14ac:dyDescent="0.25"/>
    <row r="59" spans="1:9" s="30" customFormat="1" ht="30" customHeight="1" x14ac:dyDescent="0.25"/>
    <row r="60" spans="1:9" s="30" customFormat="1" ht="30" customHeight="1" x14ac:dyDescent="0.25"/>
    <row r="61" spans="1:9" s="30" customFormat="1" ht="30" customHeight="1" x14ac:dyDescent="0.25"/>
    <row r="62" spans="1:9" s="30" customFormat="1" ht="30" customHeight="1" x14ac:dyDescent="0.25"/>
    <row r="63" spans="1:9" s="30" customFormat="1" ht="30" customHeight="1" x14ac:dyDescent="0.25"/>
    <row r="64" spans="1:9" s="32" customFormat="1" ht="30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</row>
    <row r="65" spans="1:9" s="32" customFormat="1" ht="30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</row>
    <row r="66" spans="1:9" s="32" customFormat="1" ht="30.9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</row>
    <row r="67" spans="1:9" s="32" customFormat="1" ht="30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</row>
    <row r="68" spans="1:9" ht="81.95" customHeight="1" x14ac:dyDescent="0.25"/>
    <row r="69" spans="1:9" ht="30" customHeight="1" x14ac:dyDescent="0.25"/>
    <row r="77" spans="1:9" ht="30" customHeight="1" x14ac:dyDescent="0.25"/>
    <row r="78" spans="1:9" ht="30" customHeight="1" x14ac:dyDescent="0.25"/>
    <row r="79" spans="1:9" ht="30" customHeight="1" x14ac:dyDescent="0.25"/>
    <row r="80" spans="1:9" ht="30" customHeight="1" x14ac:dyDescent="0.25"/>
    <row r="81" spans="1:9" ht="30" customHeight="1" x14ac:dyDescent="0.25"/>
    <row r="82" spans="1:9" ht="99" customHeight="1" x14ac:dyDescent="0.25"/>
    <row r="83" spans="1:9" ht="30" customHeight="1" x14ac:dyDescent="0.25"/>
    <row r="85" spans="1:9" s="32" customFormat="1" ht="30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</row>
    <row r="86" spans="1:9" s="32" customFormat="1" ht="30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</row>
    <row r="87" spans="1:9" s="32" customFormat="1" ht="30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</row>
    <row r="88" spans="1:9" s="32" customFormat="1" ht="30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</row>
    <row r="89" spans="1:9" s="32" customFormat="1" ht="30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</row>
    <row r="90" spans="1:9" s="32" customFormat="1" ht="30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</row>
    <row r="91" spans="1:9" s="32" customFormat="1" ht="30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</row>
    <row r="92" spans="1:9" s="32" customFormat="1" ht="30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</row>
    <row r="93" spans="1:9" s="32" customFormat="1" ht="30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</row>
    <row r="94" spans="1:9" s="32" customFormat="1" ht="30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</row>
    <row r="95" spans="1:9" s="32" customFormat="1" ht="30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</row>
    <row r="96" spans="1:9" s="32" customFormat="1" ht="30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</row>
    <row r="97" spans="1:9" s="32" customFormat="1" ht="30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</row>
    <row r="98" spans="1:9" s="32" customFormat="1" ht="30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</row>
    <row r="100" spans="1:9" ht="30" customHeight="1" x14ac:dyDescent="0.25"/>
    <row r="101" spans="1:9" ht="30" customHeight="1" x14ac:dyDescent="0.25"/>
    <row r="102" spans="1:9" ht="30" customHeight="1" x14ac:dyDescent="0.25"/>
    <row r="103" spans="1:9" ht="30" customHeight="1" x14ac:dyDescent="0.25"/>
    <row r="104" spans="1:9" ht="30" customHeight="1" x14ac:dyDescent="0.25"/>
    <row r="105" spans="1:9" ht="30" customHeight="1" x14ac:dyDescent="0.25"/>
    <row r="106" spans="1:9" ht="30" customHeight="1" x14ac:dyDescent="0.25"/>
    <row r="109" spans="1:9" ht="30" customHeight="1" x14ac:dyDescent="0.25"/>
    <row r="110" spans="1:9" ht="30" customHeight="1" x14ac:dyDescent="0.25"/>
    <row r="111" spans="1:9" ht="30" customHeight="1" x14ac:dyDescent="0.25"/>
    <row r="112" spans="1:9" ht="30" customHeight="1" x14ac:dyDescent="0.25"/>
  </sheetData>
  <sheetProtection algorithmName="SHA-512" hashValue="pYzsuvQ2Br7AggR8y5ferCFVqcXbsD5af110UdevnLABfKfBkGxit+sqWYl/+rA6YoXYot9hsI5WwYAgEUt1oA==" saltValue="9sxnn1mQYKwM3OGCAbyFHw==" spinCount="100000" sheet="1" objects="1" scenarios="1"/>
  <mergeCells count="4">
    <mergeCell ref="A12:B12"/>
    <mergeCell ref="A8:I8"/>
    <mergeCell ref="A5:B5"/>
    <mergeCell ref="A1:I1"/>
  </mergeCells>
  <pageMargins left="0.25" right="0.25" top="0.75000000000000011" bottom="0.75000000000000011" header="0.30000000000000004" footer="0.30000000000000004"/>
  <pageSetup paperSize="9" scale="99" orientation="landscape" horizontalDpi="4294967292" verticalDpi="4294967292" r:id="rId1"/>
  <headerFooter>
    <oddHeader>&amp;L&amp;"Calibri,Regular"&amp;K000000&amp;G&amp;C&amp;"Calibri,Regular"&amp;K000000Planejamento Financeiro&amp;R&amp;"Calibri,Regular"&amp;K000000&amp;G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1"/>
  <sheetViews>
    <sheetView showGridLines="0" zoomScalePageLayoutView="125" workbookViewId="0">
      <selection activeCell="I7" sqref="A1:I7"/>
    </sheetView>
  </sheetViews>
  <sheetFormatPr defaultColWidth="10.875" defaultRowHeight="15.75" x14ac:dyDescent="0.25"/>
  <cols>
    <col min="1" max="1" width="25.125" style="31" customWidth="1"/>
    <col min="2" max="2" width="13.125" style="31" bestFit="1" customWidth="1"/>
    <col min="3" max="9" width="12.875" style="31" customWidth="1"/>
    <col min="10" max="16384" width="10.875" style="31"/>
  </cols>
  <sheetData>
    <row r="1" spans="1:9" ht="30" customHeight="1" x14ac:dyDescent="0.25">
      <c r="A1" s="181" t="s">
        <v>138</v>
      </c>
      <c r="B1" s="181"/>
      <c r="C1" s="181"/>
      <c r="D1" s="181"/>
      <c r="E1" s="181"/>
      <c r="F1" s="181"/>
      <c r="G1" s="181"/>
      <c r="H1" s="181"/>
      <c r="I1" s="181"/>
    </row>
    <row r="2" spans="1:9" ht="30" customHeight="1" x14ac:dyDescent="0.25">
      <c r="A2" s="74"/>
      <c r="B2" s="75" t="s">
        <v>69</v>
      </c>
      <c r="C2" s="76" t="s">
        <v>101</v>
      </c>
      <c r="D2" s="76" t="s">
        <v>102</v>
      </c>
      <c r="E2" s="76" t="s">
        <v>103</v>
      </c>
      <c r="F2" s="76" t="s">
        <v>104</v>
      </c>
      <c r="G2" s="76" t="s">
        <v>105</v>
      </c>
      <c r="H2" s="76" t="s">
        <v>106</v>
      </c>
      <c r="I2" s="76" t="s">
        <v>107</v>
      </c>
    </row>
    <row r="3" spans="1:9" ht="30" customHeight="1" x14ac:dyDescent="0.25">
      <c r="A3" s="77" t="s">
        <v>121</v>
      </c>
      <c r="B3" s="110">
        <v>2.2999999999999998</v>
      </c>
      <c r="C3" s="111">
        <f>Faturamento!C$3*$B$3</f>
        <v>482.99999999999994</v>
      </c>
      <c r="D3" s="112">
        <f>Faturamento!D$3*$B$3</f>
        <v>455.4</v>
      </c>
      <c r="E3" s="111">
        <f>Faturamento!E$3*$B$3</f>
        <v>462.29999999999995</v>
      </c>
      <c r="F3" s="111">
        <f>Faturamento!F$3*$B$3</f>
        <v>409.4</v>
      </c>
      <c r="G3" s="111">
        <f>Faturamento!G$3*$B$3</f>
        <v>448.49999999999994</v>
      </c>
      <c r="H3" s="111">
        <f>Faturamento!H$3*$B$3</f>
        <v>471.49999999999994</v>
      </c>
      <c r="I3" s="111">
        <f>Faturamento!I$3*$B$3</f>
        <v>485.29999999999995</v>
      </c>
    </row>
    <row r="4" spans="1:9" ht="30" customHeight="1" x14ac:dyDescent="0.25">
      <c r="A4" s="77" t="s">
        <v>122</v>
      </c>
      <c r="B4" s="110">
        <v>2.2999999999999998</v>
      </c>
      <c r="C4" s="111">
        <f>Faturamento!C$4*$B$4</f>
        <v>55.199999999999996</v>
      </c>
      <c r="D4" s="111">
        <f>Faturamento!D$4*$B$4</f>
        <v>50.599999999999994</v>
      </c>
      <c r="E4" s="112">
        <f>Faturamento!E$4*$B$4</f>
        <v>52.9</v>
      </c>
      <c r="F4" s="111">
        <f>Faturamento!F$4*$B$4</f>
        <v>46</v>
      </c>
      <c r="G4" s="111">
        <f>Faturamento!G$4*$B$4</f>
        <v>50.599999999999994</v>
      </c>
      <c r="H4" s="111">
        <f>Faturamento!H$4*$B$4</f>
        <v>52.9</v>
      </c>
      <c r="I4" s="111">
        <f>Faturamento!I$4*$B$4</f>
        <v>55.199999999999996</v>
      </c>
    </row>
    <row r="5" spans="1:9" ht="30" customHeight="1" x14ac:dyDescent="0.25">
      <c r="A5" s="77" t="s">
        <v>123</v>
      </c>
      <c r="B5" s="110">
        <v>30</v>
      </c>
      <c r="C5" s="111">
        <f>Faturamento!C$5*$B$5</f>
        <v>2100</v>
      </c>
      <c r="D5" s="111">
        <f>Faturamento!D$5*$B$5</f>
        <v>1980</v>
      </c>
      <c r="E5" s="111">
        <f>Faturamento!E$5*$B$5</f>
        <v>2010</v>
      </c>
      <c r="F5" s="112">
        <f>Faturamento!F$5*$B$5</f>
        <v>1770</v>
      </c>
      <c r="G5" s="111">
        <f>Faturamento!G$5*$B$5</f>
        <v>1950</v>
      </c>
      <c r="H5" s="111">
        <f>Faturamento!H$5*$B$5</f>
        <v>2040</v>
      </c>
      <c r="I5" s="111">
        <f>Faturamento!I$5*$B$5</f>
        <v>2100</v>
      </c>
    </row>
    <row r="6" spans="1:9" ht="30" customHeight="1" thickBot="1" x14ac:dyDescent="0.3">
      <c r="A6" s="77" t="s">
        <v>124</v>
      </c>
      <c r="B6" s="110">
        <v>335</v>
      </c>
      <c r="C6" s="111">
        <f>Faturamento!C$6*$B$6</f>
        <v>2680</v>
      </c>
      <c r="D6" s="111">
        <f>Faturamento!D$6*$B$6</f>
        <v>2680</v>
      </c>
      <c r="E6" s="111">
        <f>Faturamento!E$6*$B$6</f>
        <v>2680</v>
      </c>
      <c r="F6" s="111">
        <f>Faturamento!F$6*$B$6</f>
        <v>2345</v>
      </c>
      <c r="G6" s="112">
        <f>Faturamento!G$6*$B$6</f>
        <v>2680</v>
      </c>
      <c r="H6" s="111">
        <f>Faturamento!H$6*$B$6</f>
        <v>2680</v>
      </c>
      <c r="I6" s="111">
        <f>Faturamento!I$6*$B$6</f>
        <v>2680</v>
      </c>
    </row>
    <row r="7" spans="1:9" ht="30" customHeight="1" thickTop="1" x14ac:dyDescent="0.25">
      <c r="A7" s="177" t="s">
        <v>55</v>
      </c>
      <c r="B7" s="178"/>
      <c r="C7" s="104">
        <f>SUM(C3:C6)</f>
        <v>5318.2</v>
      </c>
      <c r="D7" s="104">
        <f t="shared" ref="D7:I7" si="0">SUM(D3:D6)</f>
        <v>5166</v>
      </c>
      <c r="E7" s="104">
        <f t="shared" si="0"/>
        <v>5205.2</v>
      </c>
      <c r="F7" s="104">
        <f t="shared" si="0"/>
        <v>4570.3999999999996</v>
      </c>
      <c r="G7" s="104">
        <f t="shared" si="0"/>
        <v>5129.1000000000004</v>
      </c>
      <c r="H7" s="104">
        <f t="shared" si="0"/>
        <v>5244.4</v>
      </c>
      <c r="I7" s="104">
        <f t="shared" si="0"/>
        <v>5320.5</v>
      </c>
    </row>
    <row r="8" spans="1:9" ht="30" customHeight="1" x14ac:dyDescent="0.25">
      <c r="A8" s="30"/>
      <c r="B8" s="30"/>
      <c r="C8" s="30"/>
      <c r="D8" s="30"/>
      <c r="E8" s="30"/>
      <c r="F8" s="30"/>
      <c r="G8" s="30"/>
      <c r="H8" s="30"/>
      <c r="I8" s="30"/>
    </row>
    <row r="9" spans="1:9" ht="30" customHeight="1" x14ac:dyDescent="0.25">
      <c r="A9" s="30"/>
      <c r="B9" s="30"/>
      <c r="C9" s="30"/>
      <c r="D9" s="30"/>
      <c r="E9" s="30"/>
      <c r="F9" s="30"/>
      <c r="G9" s="30"/>
      <c r="H9" s="30"/>
      <c r="I9" s="30"/>
    </row>
    <row r="10" spans="1:9" s="30" customFormat="1" ht="30" customHeight="1" x14ac:dyDescent="0.25"/>
    <row r="11" spans="1:9" s="30" customFormat="1" ht="30" customHeight="1" x14ac:dyDescent="0.25"/>
    <row r="12" spans="1:9" s="30" customFormat="1" ht="30" customHeight="1" x14ac:dyDescent="0.25"/>
    <row r="13" spans="1:9" s="30" customFormat="1" ht="30" customHeight="1" x14ac:dyDescent="0.25"/>
    <row r="14" spans="1:9" s="30" customFormat="1" ht="30" customHeight="1" x14ac:dyDescent="0.25"/>
    <row r="15" spans="1:9" s="30" customFormat="1" ht="30" customHeight="1" x14ac:dyDescent="0.25"/>
    <row r="16" spans="1:9" s="30" customFormat="1" ht="30" customHeight="1" x14ac:dyDescent="0.25"/>
    <row r="17" spans="1:9" s="30" customFormat="1" ht="30" customHeight="1" x14ac:dyDescent="0.25"/>
    <row r="18" spans="1:9" s="30" customFormat="1" ht="30" customHeight="1" x14ac:dyDescent="0.25"/>
    <row r="19" spans="1:9" s="30" customFormat="1" ht="30" customHeight="1" x14ac:dyDescent="0.25"/>
    <row r="20" spans="1:9" s="30" customFormat="1" ht="30" customHeight="1" x14ac:dyDescent="0.25"/>
    <row r="21" spans="1:9" s="30" customFormat="1" ht="30" customHeight="1" x14ac:dyDescent="0.25"/>
    <row r="22" spans="1:9" s="30" customFormat="1" ht="30" customHeight="1" x14ac:dyDescent="0.25"/>
    <row r="23" spans="1:9" s="30" customFormat="1" ht="30" customHeight="1" x14ac:dyDescent="0.25"/>
    <row r="24" spans="1:9" s="32" customFormat="1" ht="32.1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</row>
    <row r="25" spans="1:9" s="32" customFormat="1" ht="30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</row>
    <row r="26" spans="1:9" s="30" customFormat="1" ht="30" customHeight="1" x14ac:dyDescent="0.25"/>
    <row r="27" spans="1:9" s="30" customFormat="1" ht="30" customHeight="1" x14ac:dyDescent="0.25"/>
    <row r="28" spans="1:9" s="30" customFormat="1" ht="30" customHeight="1" x14ac:dyDescent="0.25"/>
    <row r="29" spans="1:9" s="30" customFormat="1" ht="30" customHeight="1" x14ac:dyDescent="0.25"/>
    <row r="30" spans="1:9" s="30" customFormat="1" ht="30" customHeight="1" x14ac:dyDescent="0.25"/>
    <row r="31" spans="1:9" s="30" customFormat="1" ht="30" customHeight="1" x14ac:dyDescent="0.25"/>
    <row r="32" spans="1:9" s="30" customFormat="1" ht="30" customHeight="1" x14ac:dyDescent="0.25"/>
    <row r="33" spans="1:9" s="32" customFormat="1" ht="30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</row>
    <row r="34" spans="1:9" s="32" customFormat="1" ht="30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</row>
    <row r="35" spans="1:9" s="32" customFormat="1" ht="30.9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</row>
    <row r="36" spans="1:9" s="32" customFormat="1" ht="30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</row>
    <row r="37" spans="1:9" ht="81.95" customHeight="1" x14ac:dyDescent="0.25"/>
    <row r="38" spans="1:9" ht="30" customHeight="1" x14ac:dyDescent="0.25"/>
    <row r="46" spans="1:9" ht="30" customHeight="1" x14ac:dyDescent="0.25"/>
    <row r="47" spans="1:9" ht="30" customHeight="1" x14ac:dyDescent="0.25"/>
    <row r="48" spans="1:9" ht="30" customHeight="1" x14ac:dyDescent="0.25"/>
    <row r="49" spans="1:9" ht="30" customHeight="1" x14ac:dyDescent="0.25"/>
    <row r="50" spans="1:9" ht="30" customHeight="1" x14ac:dyDescent="0.25"/>
    <row r="51" spans="1:9" ht="99" customHeight="1" x14ac:dyDescent="0.25"/>
    <row r="52" spans="1:9" ht="30" customHeight="1" x14ac:dyDescent="0.25"/>
    <row r="54" spans="1:9" s="32" customFormat="1" ht="30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</row>
    <row r="55" spans="1:9" s="32" customFormat="1" ht="30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</row>
    <row r="56" spans="1:9" s="32" customFormat="1" ht="30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</row>
    <row r="57" spans="1:9" s="32" customFormat="1" ht="30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</row>
    <row r="58" spans="1:9" s="32" customFormat="1" ht="30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</row>
    <row r="59" spans="1:9" s="32" customFormat="1" ht="30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</row>
    <row r="60" spans="1:9" s="32" customFormat="1" ht="30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</row>
    <row r="61" spans="1:9" s="32" customFormat="1" ht="30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</row>
    <row r="62" spans="1:9" s="32" customFormat="1" ht="30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</row>
    <row r="63" spans="1:9" s="32" customFormat="1" ht="30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</row>
    <row r="64" spans="1:9" s="32" customFormat="1" ht="30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</row>
    <row r="65" spans="1:9" s="32" customFormat="1" ht="30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</row>
    <row r="66" spans="1:9" s="32" customFormat="1" ht="30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</row>
    <row r="67" spans="1:9" s="32" customFormat="1" ht="30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</row>
    <row r="69" spans="1:9" ht="30" customHeight="1" x14ac:dyDescent="0.25"/>
    <row r="70" spans="1:9" ht="30" customHeight="1" x14ac:dyDescent="0.25"/>
    <row r="71" spans="1:9" ht="30" customHeight="1" x14ac:dyDescent="0.25"/>
    <row r="72" spans="1:9" ht="30" customHeight="1" x14ac:dyDescent="0.25"/>
    <row r="73" spans="1:9" ht="30" customHeight="1" x14ac:dyDescent="0.25"/>
    <row r="74" spans="1:9" ht="30" customHeight="1" x14ac:dyDescent="0.25"/>
    <row r="75" spans="1:9" ht="30" customHeight="1" x14ac:dyDescent="0.25"/>
    <row r="78" spans="1:9" ht="30" customHeight="1" x14ac:dyDescent="0.25"/>
    <row r="79" spans="1:9" ht="30" customHeight="1" x14ac:dyDescent="0.25"/>
    <row r="80" spans="1:9" ht="30" customHeight="1" x14ac:dyDescent="0.25"/>
    <row r="81" ht="30" customHeight="1" x14ac:dyDescent="0.25"/>
  </sheetData>
  <sheetProtection algorithmName="SHA-512" hashValue="TCE/Y+D7H6NOI6gkbvwT+4kLBlk0DkL2wN2StKt7CfwO48thheccMWNH/mNLWG7C41LPQLAgFPRnM4VYzWfoFA==" saltValue="qVr/u0I+DxI6lMPBfFP0tQ==" spinCount="100000" sheet="1" objects="1" scenarios="1"/>
  <mergeCells count="2">
    <mergeCell ref="A1:I1"/>
    <mergeCell ref="A7:B7"/>
  </mergeCells>
  <pageMargins left="0.25" right="0.25" top="0.75000000000000011" bottom="0.75000000000000011" header="0.30000000000000004" footer="0.30000000000000004"/>
  <pageSetup paperSize="9" scale="99" orientation="landscape" horizontalDpi="4294967292" verticalDpi="4294967292" r:id="rId1"/>
  <headerFooter>
    <oddHeader>&amp;L&amp;"Calibri,Regular"&amp;K000000&amp;G&amp;C&amp;"Calibri,Regular"&amp;K000000Planejamento Financeiro&amp;R&amp;"Calibri,Regular"&amp;K000000&amp;G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40"/>
  <sheetViews>
    <sheetView showGridLines="0" zoomScale="85" zoomScaleNormal="85" zoomScalePageLayoutView="125" workbookViewId="0">
      <selection activeCell="J18" sqref="A1:J18"/>
    </sheetView>
  </sheetViews>
  <sheetFormatPr defaultColWidth="10.875" defaultRowHeight="15.75" x14ac:dyDescent="0.25"/>
  <cols>
    <col min="1" max="1" width="32.5" style="48" bestFit="1" customWidth="1"/>
    <col min="2" max="2" width="15" style="31" bestFit="1" customWidth="1"/>
    <col min="3" max="3" width="18.625" style="31" bestFit="1" customWidth="1"/>
    <col min="4" max="4" width="15" style="31" customWidth="1"/>
    <col min="5" max="5" width="10.125" style="31" customWidth="1"/>
    <col min="6" max="6" width="11.875" style="31" customWidth="1"/>
    <col min="7" max="7" width="10.125" style="31" customWidth="1"/>
    <col min="8" max="8" width="12.125" style="31" customWidth="1"/>
    <col min="9" max="9" width="15" style="31" customWidth="1"/>
    <col min="10" max="10" width="16.375" style="31" bestFit="1" customWidth="1"/>
    <col min="11" max="11" width="12.875" style="31" customWidth="1"/>
    <col min="12" max="12" width="16.375" style="31" bestFit="1" customWidth="1"/>
    <col min="13" max="13" width="12.875" style="31" customWidth="1"/>
    <col min="14" max="14" width="18.375" style="31" bestFit="1" customWidth="1"/>
    <col min="15" max="16" width="12.875" style="31" customWidth="1"/>
    <col min="17" max="17" width="26.875" style="31" customWidth="1"/>
    <col min="18" max="18" width="10.875" style="31"/>
    <col min="19" max="25" width="12.875" style="31" customWidth="1"/>
    <col min="26" max="26" width="26.875" style="31" customWidth="1"/>
    <col min="27" max="27" width="8" style="31" customWidth="1"/>
    <col min="28" max="32" width="13.125" style="31" bestFit="1" customWidth="1"/>
    <col min="33" max="34" width="14.375" style="31" customWidth="1"/>
    <col min="35" max="35" width="26.875" style="31" customWidth="1"/>
    <col min="36" max="36" width="12.5" style="31" bestFit="1" customWidth="1"/>
    <col min="37" max="42" width="12.875" style="31" customWidth="1"/>
    <col min="43" max="43" width="26.875" style="32" customWidth="1"/>
    <col min="44" max="44" width="11" style="31" bestFit="1" customWidth="1"/>
    <col min="45" max="52" width="12.875" style="31" customWidth="1"/>
    <col min="53" max="16384" width="10.875" style="31"/>
  </cols>
  <sheetData>
    <row r="1" spans="1:51" ht="30" customHeight="1" x14ac:dyDescent="0.25">
      <c r="A1" s="181" t="s">
        <v>139</v>
      </c>
      <c r="B1" s="181"/>
      <c r="C1" s="181"/>
      <c r="D1" s="181"/>
      <c r="E1" s="181"/>
      <c r="F1" s="181"/>
      <c r="G1" s="181"/>
      <c r="H1" s="181"/>
      <c r="I1" s="181"/>
      <c r="J1" s="181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51" ht="31.5" x14ac:dyDescent="0.25">
      <c r="A2" s="113" t="s">
        <v>68</v>
      </c>
      <c r="B2" s="75" t="s">
        <v>141</v>
      </c>
      <c r="C2" s="76" t="s">
        <v>145</v>
      </c>
      <c r="D2" s="75" t="s">
        <v>88</v>
      </c>
      <c r="E2" s="76" t="s">
        <v>143</v>
      </c>
      <c r="F2" s="76" t="s">
        <v>52</v>
      </c>
      <c r="G2" s="75" t="s">
        <v>144</v>
      </c>
      <c r="H2" s="75" t="s">
        <v>43</v>
      </c>
      <c r="I2" s="76" t="s">
        <v>51</v>
      </c>
      <c r="J2" s="75" t="s">
        <v>142</v>
      </c>
    </row>
    <row r="3" spans="1:51" ht="21" x14ac:dyDescent="0.25">
      <c r="A3" s="114" t="s">
        <v>140</v>
      </c>
      <c r="B3" s="115">
        <v>1</v>
      </c>
      <c r="C3" s="110">
        <v>1200</v>
      </c>
      <c r="D3" s="116">
        <v>0.2</v>
      </c>
      <c r="E3" s="116">
        <v>0.2</v>
      </c>
      <c r="F3" s="117">
        <v>0.4</v>
      </c>
      <c r="G3" s="118">
        <v>8.3330000000000001E-2</v>
      </c>
      <c r="H3" s="118">
        <v>0.11111</v>
      </c>
      <c r="I3" s="117">
        <v>0.4</v>
      </c>
      <c r="J3" s="119">
        <f>($C3+($C3*$D3)+(IF($C3+($C3*$D3)&lt;5531.31,($C3+($C3*$D3))*$E3,IF($C3+($C3*$D3)&gt;=5531.31,5531.31*$E3,"?")))+($C3+($C3*$D3))*$F3+(($C3+($C3*$D3))*($G3+$H3))+((($C3+($C3*$D3))*($G3+$H3))*$I3*($H3+$G3)))*$B3</f>
        <v>2605.7703822335998</v>
      </c>
    </row>
    <row r="4" spans="1:51" ht="21" x14ac:dyDescent="0.25">
      <c r="A4" s="120" t="s">
        <v>31</v>
      </c>
      <c r="B4" s="115">
        <v>1</v>
      </c>
      <c r="C4" s="121">
        <v>937</v>
      </c>
      <c r="D4" s="115">
        <v>0</v>
      </c>
      <c r="E4" s="116">
        <v>0.2</v>
      </c>
      <c r="F4" s="117">
        <v>0.4</v>
      </c>
      <c r="G4" s="118">
        <v>8.3330000000000001E-2</v>
      </c>
      <c r="H4" s="118">
        <v>0.11111</v>
      </c>
      <c r="I4" s="117">
        <v>0.4</v>
      </c>
      <c r="J4" s="119">
        <f t="shared" ref="J4:J5" si="0">($C4+($C4*$D4)+(IF($C4+($C4*$D4)&lt;5531.31,($C4+($C4*$D4))*$E4,IF($C4+($C4*$D4)&gt;=5531.31,5531.31*$E4,"?")))+($C4+($C4*$D4))*$F4+(($C4+($C4*$D4))*($G4+$H4))+((($C4+($C4*$D4))*($G4+$H4))*$I4*($H4+$G4)))*$B4</f>
        <v>1695.5603112172801</v>
      </c>
    </row>
    <row r="5" spans="1:51" ht="21" x14ac:dyDescent="0.25">
      <c r="A5" s="120" t="s">
        <v>99</v>
      </c>
      <c r="B5" s="115">
        <v>1</v>
      </c>
      <c r="C5" s="121">
        <v>12000</v>
      </c>
      <c r="D5" s="116">
        <v>0.2</v>
      </c>
      <c r="E5" s="116">
        <v>0.2</v>
      </c>
      <c r="F5" s="117">
        <v>0.4</v>
      </c>
      <c r="G5" s="118">
        <v>8.3330000000000001E-2</v>
      </c>
      <c r="H5" s="118">
        <v>0.11111</v>
      </c>
      <c r="I5" s="117">
        <v>0.4</v>
      </c>
      <c r="J5" s="119">
        <f t="shared" si="0"/>
        <v>24283.965822336006</v>
      </c>
    </row>
    <row r="6" spans="1:51" ht="21" x14ac:dyDescent="0.25">
      <c r="A6" s="114" t="s">
        <v>147</v>
      </c>
      <c r="B6" s="115">
        <f>2*20</f>
        <v>40</v>
      </c>
      <c r="C6" s="122">
        <v>4.0999999999999996</v>
      </c>
      <c r="D6" s="123" t="s">
        <v>146</v>
      </c>
      <c r="E6" s="123" t="s">
        <v>146</v>
      </c>
      <c r="F6" s="123" t="s">
        <v>146</v>
      </c>
      <c r="G6" s="123" t="s">
        <v>146</v>
      </c>
      <c r="H6" s="123" t="s">
        <v>146</v>
      </c>
      <c r="I6" s="123" t="s">
        <v>146</v>
      </c>
      <c r="J6" s="124">
        <f>B6*C6</f>
        <v>164</v>
      </c>
    </row>
    <row r="7" spans="1:51" ht="21" x14ac:dyDescent="0.25">
      <c r="A7" s="114" t="s">
        <v>148</v>
      </c>
      <c r="B7" s="125">
        <v>0.06</v>
      </c>
      <c r="C7" s="122">
        <v>4.0999999999999996</v>
      </c>
      <c r="D7" s="126" t="s">
        <v>146</v>
      </c>
      <c r="E7" s="126" t="s">
        <v>146</v>
      </c>
      <c r="F7" s="126" t="s">
        <v>146</v>
      </c>
      <c r="G7" s="126" t="s">
        <v>146</v>
      </c>
      <c r="H7" s="126" t="s">
        <v>146</v>
      </c>
      <c r="I7" s="126" t="s">
        <v>146</v>
      </c>
      <c r="J7" s="124">
        <f>-C3*B7</f>
        <v>-72</v>
      </c>
      <c r="L7" s="57"/>
      <c r="AQ7" s="34"/>
      <c r="AR7" s="34"/>
      <c r="AS7" s="27"/>
      <c r="AT7" s="27"/>
      <c r="AU7" s="27"/>
      <c r="AV7" s="27"/>
      <c r="AW7" s="27"/>
      <c r="AX7" s="27"/>
      <c r="AY7" s="27"/>
    </row>
    <row r="8" spans="1:51" ht="21" x14ac:dyDescent="0.3">
      <c r="A8" s="120" t="s">
        <v>13</v>
      </c>
      <c r="B8" s="115">
        <f>2*20</f>
        <v>40</v>
      </c>
      <c r="C8" s="122">
        <v>4.0999999999999996</v>
      </c>
      <c r="D8" s="123" t="s">
        <v>146</v>
      </c>
      <c r="E8" s="123" t="s">
        <v>146</v>
      </c>
      <c r="F8" s="123" t="s">
        <v>146</v>
      </c>
      <c r="G8" s="123" t="s">
        <v>146</v>
      </c>
      <c r="H8" s="123" t="s">
        <v>146</v>
      </c>
      <c r="I8" s="123" t="s">
        <v>146</v>
      </c>
      <c r="J8" s="124">
        <f>B8*C8</f>
        <v>164</v>
      </c>
      <c r="L8" s="58"/>
      <c r="M8" s="49"/>
      <c r="N8" s="50"/>
    </row>
    <row r="9" spans="1:51" ht="21" x14ac:dyDescent="0.3">
      <c r="A9" s="120" t="s">
        <v>100</v>
      </c>
      <c r="B9" s="125">
        <v>0.06</v>
      </c>
      <c r="C9" s="122">
        <v>4.0999999999999996</v>
      </c>
      <c r="D9" s="123" t="s">
        <v>146</v>
      </c>
      <c r="E9" s="123" t="s">
        <v>146</v>
      </c>
      <c r="F9" s="123" t="s">
        <v>146</v>
      </c>
      <c r="G9" s="123" t="s">
        <v>146</v>
      </c>
      <c r="H9" s="123" t="s">
        <v>146</v>
      </c>
      <c r="I9" s="123" t="s">
        <v>146</v>
      </c>
      <c r="J9" s="124">
        <f>-C4*B9</f>
        <v>-56.22</v>
      </c>
      <c r="L9" s="51"/>
      <c r="M9" s="49"/>
      <c r="N9" s="50"/>
    </row>
    <row r="10" spans="1:51" ht="21" x14ac:dyDescent="0.3">
      <c r="A10" s="114" t="s">
        <v>149</v>
      </c>
      <c r="B10" s="115">
        <v>1</v>
      </c>
      <c r="C10" s="122">
        <v>100</v>
      </c>
      <c r="D10" s="123" t="s">
        <v>146</v>
      </c>
      <c r="E10" s="123" t="s">
        <v>146</v>
      </c>
      <c r="F10" s="123" t="s">
        <v>146</v>
      </c>
      <c r="G10" s="123" t="s">
        <v>146</v>
      </c>
      <c r="H10" s="123" t="s">
        <v>146</v>
      </c>
      <c r="I10" s="123" t="s">
        <v>146</v>
      </c>
      <c r="J10" s="124">
        <f>B10*C10</f>
        <v>100</v>
      </c>
      <c r="L10" s="51"/>
      <c r="M10" s="49"/>
      <c r="N10" s="50"/>
    </row>
    <row r="11" spans="1:51" s="32" customFormat="1" ht="21.75" thickBot="1" x14ac:dyDescent="0.3">
      <c r="A11" s="120" t="s">
        <v>110</v>
      </c>
      <c r="B11" s="115">
        <v>1</v>
      </c>
      <c r="C11" s="122">
        <v>100</v>
      </c>
      <c r="D11" s="123" t="s">
        <v>146</v>
      </c>
      <c r="E11" s="123" t="s">
        <v>146</v>
      </c>
      <c r="F11" s="123" t="s">
        <v>146</v>
      </c>
      <c r="G11" s="123" t="s">
        <v>146</v>
      </c>
      <c r="H11" s="123" t="s">
        <v>146</v>
      </c>
      <c r="I11" s="123" t="s">
        <v>146</v>
      </c>
      <c r="J11" s="124">
        <f>B11*C11</f>
        <v>100</v>
      </c>
      <c r="K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R11" s="31"/>
      <c r="AS11" s="31"/>
      <c r="AT11" s="31"/>
      <c r="AU11" s="31"/>
      <c r="AV11" s="31"/>
      <c r="AW11" s="31"/>
      <c r="AX11" s="31"/>
      <c r="AY11" s="31"/>
    </row>
    <row r="12" spans="1:51" s="32" customFormat="1" ht="21.75" thickTop="1" x14ac:dyDescent="0.25">
      <c r="A12" s="182" t="s">
        <v>55</v>
      </c>
      <c r="B12" s="183"/>
      <c r="C12" s="183"/>
      <c r="D12" s="183"/>
      <c r="E12" s="183"/>
      <c r="F12" s="183"/>
      <c r="G12" s="183"/>
      <c r="H12" s="183"/>
      <c r="I12" s="184"/>
      <c r="J12" s="127">
        <f>SUM(J3:J11)</f>
        <v>28985.076515786885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R12" s="31"/>
      <c r="AS12" s="31"/>
      <c r="AT12" s="31"/>
      <c r="AU12" s="31"/>
      <c r="AV12" s="31"/>
      <c r="AW12" s="31"/>
      <c r="AX12" s="31"/>
      <c r="AY12" s="31"/>
    </row>
    <row r="13" spans="1:51" s="32" customFormat="1" ht="12.75" customHeight="1" x14ac:dyDescent="0.25">
      <c r="A13" s="128"/>
      <c r="B13" s="129"/>
      <c r="C13" s="130"/>
      <c r="D13" s="131"/>
      <c r="E13" s="131"/>
      <c r="F13" s="131"/>
      <c r="G13" s="131"/>
      <c r="H13" s="131"/>
      <c r="I13" s="131"/>
      <c r="J13" s="132"/>
      <c r="K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R13" s="31"/>
      <c r="AS13" s="31"/>
      <c r="AT13" s="31"/>
      <c r="AU13" s="31"/>
      <c r="AV13" s="31"/>
      <c r="AW13" s="31"/>
      <c r="AX13" s="31"/>
      <c r="AY13" s="31"/>
    </row>
    <row r="14" spans="1:51" s="32" customFormat="1" ht="21" x14ac:dyDescent="0.25">
      <c r="A14" s="133" t="s">
        <v>150</v>
      </c>
      <c r="B14" s="134">
        <v>0.27500000000000002</v>
      </c>
      <c r="C14" s="134" t="s">
        <v>146</v>
      </c>
      <c r="D14" s="134" t="s">
        <v>146</v>
      </c>
      <c r="E14" s="134" t="s">
        <v>146</v>
      </c>
      <c r="F14" s="134" t="s">
        <v>146</v>
      </c>
      <c r="G14" s="134" t="s">
        <v>146</v>
      </c>
      <c r="H14" s="134" t="s">
        <v>146</v>
      </c>
      <c r="I14" s="134" t="s">
        <v>146</v>
      </c>
      <c r="J14" s="124">
        <f>($C5+($C5*$D5)+(IF($C5+($C5*$D5)&lt;5531.31,($C5+($C5*$D5))*$E5,IF($C5+($C5*$D5)&gt;=5531.31,5531.31*$E5,"?"))))*$B$14</f>
        <v>4264.2220500000003</v>
      </c>
      <c r="K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R14" s="31"/>
      <c r="AS14" s="31"/>
      <c r="AT14" s="31"/>
      <c r="AU14" s="31"/>
      <c r="AV14" s="31"/>
      <c r="AW14" s="31"/>
      <c r="AX14" s="31"/>
      <c r="AY14" s="31"/>
    </row>
    <row r="15" spans="1:51" s="32" customFormat="1" ht="21.75" thickBot="1" x14ac:dyDescent="0.3">
      <c r="A15" s="135" t="s">
        <v>120</v>
      </c>
      <c r="B15" s="134">
        <v>0.11</v>
      </c>
      <c r="C15" s="134" t="s">
        <v>146</v>
      </c>
      <c r="D15" s="134" t="s">
        <v>146</v>
      </c>
      <c r="E15" s="134" t="s">
        <v>146</v>
      </c>
      <c r="F15" s="134" t="s">
        <v>146</v>
      </c>
      <c r="G15" s="134" t="s">
        <v>146</v>
      </c>
      <c r="H15" s="134" t="s">
        <v>146</v>
      </c>
      <c r="I15" s="134" t="s">
        <v>146</v>
      </c>
      <c r="J15" s="124">
        <f>($C5+($C5*$D5))*$B$15</f>
        <v>1584</v>
      </c>
      <c r="K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R15" s="31"/>
      <c r="AS15" s="31"/>
      <c r="AT15" s="31"/>
      <c r="AU15" s="31"/>
      <c r="AV15" s="31"/>
      <c r="AW15" s="31"/>
      <c r="AX15" s="31"/>
      <c r="AY15" s="31"/>
    </row>
    <row r="16" spans="1:51" s="32" customFormat="1" ht="21.75" thickTop="1" x14ac:dyDescent="0.25">
      <c r="A16" s="182" t="s">
        <v>55</v>
      </c>
      <c r="B16" s="183"/>
      <c r="C16" s="183"/>
      <c r="D16" s="183"/>
      <c r="E16" s="183"/>
      <c r="F16" s="183"/>
      <c r="G16" s="183"/>
      <c r="H16" s="183"/>
      <c r="I16" s="184"/>
      <c r="J16" s="127">
        <f>SUM(J14:J15)</f>
        <v>5848.2220500000003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R16" s="31"/>
      <c r="AS16" s="31"/>
      <c r="AT16" s="31"/>
      <c r="AU16" s="31"/>
      <c r="AV16" s="31"/>
      <c r="AW16" s="31"/>
      <c r="AX16" s="31"/>
      <c r="AY16" s="31"/>
    </row>
    <row r="17" spans="1:51" s="32" customFormat="1" ht="12.75" customHeight="1" thickBot="1" x14ac:dyDescent="0.3">
      <c r="A17" s="128"/>
      <c r="B17" s="129"/>
      <c r="C17" s="130"/>
      <c r="D17" s="131"/>
      <c r="E17" s="131"/>
      <c r="F17" s="131"/>
      <c r="G17" s="131"/>
      <c r="H17" s="131"/>
      <c r="I17" s="131"/>
      <c r="J17" s="132"/>
      <c r="K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R17" s="31"/>
      <c r="AS17" s="31"/>
      <c r="AT17" s="31"/>
      <c r="AU17" s="31"/>
      <c r="AV17" s="31"/>
      <c r="AW17" s="31"/>
      <c r="AX17" s="31"/>
      <c r="AY17" s="31"/>
    </row>
    <row r="18" spans="1:51" s="32" customFormat="1" ht="21.75" thickTop="1" x14ac:dyDescent="0.25">
      <c r="A18" s="182" t="s">
        <v>55</v>
      </c>
      <c r="B18" s="183"/>
      <c r="C18" s="183"/>
      <c r="D18" s="183"/>
      <c r="E18" s="183"/>
      <c r="F18" s="183"/>
      <c r="G18" s="183"/>
      <c r="H18" s="183"/>
      <c r="I18" s="184"/>
      <c r="J18" s="127">
        <f>SUM(J12,J16)</f>
        <v>34833.298565786885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R18" s="31"/>
      <c r="AS18" s="31"/>
      <c r="AT18" s="31"/>
      <c r="AU18" s="31"/>
      <c r="AV18" s="31"/>
      <c r="AW18" s="31"/>
      <c r="AX18" s="31"/>
      <c r="AY18" s="31"/>
    </row>
    <row r="19" spans="1:51" s="32" customFormat="1" ht="15" customHeight="1" x14ac:dyDescent="0.25">
      <c r="A19" s="48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R19" s="31"/>
      <c r="AS19" s="31"/>
      <c r="AT19" s="31"/>
      <c r="AU19" s="31"/>
      <c r="AV19" s="31"/>
      <c r="AW19" s="31"/>
      <c r="AX19" s="31"/>
      <c r="AY19" s="31"/>
    </row>
    <row r="20" spans="1:51" s="32" customFormat="1" ht="15.95" customHeight="1" x14ac:dyDescent="0.25">
      <c r="A20" s="48"/>
      <c r="B20" s="31"/>
      <c r="C20" s="31"/>
      <c r="D20" s="31"/>
      <c r="E20" s="69"/>
      <c r="F20" s="69"/>
      <c r="G20" s="59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R20" s="31"/>
      <c r="AS20" s="31"/>
      <c r="AT20" s="31"/>
      <c r="AU20" s="31"/>
      <c r="AV20" s="31"/>
      <c r="AW20" s="31"/>
      <c r="AX20" s="31"/>
      <c r="AY20" s="31"/>
    </row>
    <row r="21" spans="1:51" s="32" customFormat="1" ht="15.95" customHeight="1" x14ac:dyDescent="0.3">
      <c r="A21" s="48"/>
      <c r="B21" s="31"/>
      <c r="C21" s="31"/>
      <c r="D21" s="31"/>
      <c r="E21" s="67"/>
      <c r="F21" s="67"/>
      <c r="G21" s="6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R21" s="31"/>
      <c r="AS21" s="31"/>
      <c r="AT21" s="31"/>
      <c r="AU21" s="31"/>
      <c r="AV21" s="31"/>
      <c r="AW21" s="31"/>
      <c r="AX21" s="31"/>
      <c r="AY21" s="31"/>
    </row>
    <row r="22" spans="1:51" s="32" customFormat="1" ht="15.95" customHeight="1" x14ac:dyDescent="0.3">
      <c r="A22" s="48"/>
      <c r="B22" s="31"/>
      <c r="C22" s="31"/>
      <c r="D22" s="31"/>
      <c r="E22" s="68"/>
      <c r="F22" s="68"/>
      <c r="G22" s="6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R22" s="31"/>
      <c r="AS22" s="31"/>
      <c r="AT22" s="31"/>
      <c r="AU22" s="31"/>
      <c r="AV22" s="31"/>
      <c r="AW22" s="31"/>
      <c r="AX22" s="31"/>
      <c r="AY22" s="31"/>
    </row>
    <row r="23" spans="1:51" s="32" customFormat="1" ht="15.95" customHeight="1" x14ac:dyDescent="0.3">
      <c r="A23" s="48"/>
      <c r="B23" s="31"/>
      <c r="C23" s="31"/>
      <c r="D23" s="31"/>
      <c r="E23" s="68"/>
      <c r="F23" s="68"/>
      <c r="G23" s="6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R23" s="31"/>
      <c r="AS23" s="31"/>
      <c r="AT23" s="31"/>
      <c r="AU23" s="31"/>
      <c r="AV23" s="31"/>
      <c r="AW23" s="31"/>
      <c r="AX23" s="31"/>
      <c r="AY23" s="31"/>
    </row>
    <row r="24" spans="1:51" s="32" customFormat="1" ht="15.95" customHeight="1" x14ac:dyDescent="0.25">
      <c r="A24" s="48"/>
      <c r="B24" s="31"/>
      <c r="C24" s="31"/>
      <c r="D24" s="31"/>
      <c r="E24" s="70"/>
      <c r="F24" s="70"/>
      <c r="G24" s="37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R24" s="31"/>
      <c r="AS24" s="31"/>
      <c r="AT24" s="31"/>
      <c r="AU24" s="31"/>
      <c r="AV24" s="31"/>
      <c r="AW24" s="31"/>
      <c r="AX24" s="31"/>
      <c r="AY24" s="31"/>
    </row>
    <row r="25" spans="1:51" s="32" customFormat="1" ht="15.95" customHeight="1" x14ac:dyDescent="0.25">
      <c r="A25" s="48"/>
      <c r="B25" s="31"/>
      <c r="C25" s="31"/>
      <c r="D25" s="31"/>
      <c r="E25" s="67"/>
      <c r="F25" s="67"/>
      <c r="G25" s="62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R25" s="31"/>
      <c r="AS25" s="31"/>
      <c r="AT25" s="31"/>
      <c r="AU25" s="31"/>
      <c r="AV25" s="31"/>
      <c r="AW25" s="31"/>
      <c r="AX25" s="31"/>
      <c r="AY25" s="31"/>
    </row>
    <row r="26" spans="1:51" s="32" customFormat="1" ht="15.95" customHeight="1" x14ac:dyDescent="0.3">
      <c r="A26" s="48"/>
      <c r="B26" s="31"/>
      <c r="C26" s="31"/>
      <c r="D26" s="31"/>
      <c r="E26" s="68"/>
      <c r="F26" s="68"/>
      <c r="G26" s="63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R26" s="31"/>
      <c r="AS26" s="31"/>
      <c r="AT26" s="31"/>
      <c r="AU26" s="31"/>
      <c r="AV26" s="31"/>
      <c r="AW26" s="31"/>
      <c r="AX26" s="31"/>
      <c r="AY26" s="31"/>
    </row>
    <row r="27" spans="1:51" ht="15.95" customHeight="1" x14ac:dyDescent="0.3">
      <c r="E27" s="68"/>
      <c r="F27" s="68"/>
      <c r="G27" s="63"/>
    </row>
    <row r="28" spans="1:51" ht="15.95" customHeight="1" x14ac:dyDescent="0.3">
      <c r="E28" s="61"/>
      <c r="F28" s="61"/>
      <c r="G28" s="63"/>
    </row>
    <row r="29" spans="1:51" ht="15.95" customHeight="1" x14ac:dyDescent="0.25">
      <c r="E29" s="37"/>
      <c r="F29" s="37"/>
      <c r="G29" s="37"/>
    </row>
    <row r="30" spans="1:51" ht="15.95" customHeight="1" x14ac:dyDescent="0.3">
      <c r="E30" s="64"/>
      <c r="F30" s="65"/>
      <c r="G30" s="66"/>
    </row>
    <row r="31" spans="1:51" ht="30" customHeight="1" x14ac:dyDescent="0.25"/>
    <row r="32" spans="1:51" ht="30" customHeight="1" x14ac:dyDescent="0.25"/>
    <row r="33" ht="30" customHeight="1" x14ac:dyDescent="0.25"/>
    <row r="34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</sheetData>
  <sheetProtection algorithmName="SHA-512" hashValue="2Nd7JO7i7uupD3sJEnpjZGVcE1t5k3990jsEgyTV9vsxg+CrGlCxyBeECVqOqmltcFZgrk6TT2cvLBhdx0jkfA==" saltValue="aEVyut88+fzEe/IIAZ1IfA==" spinCount="100000" sheet="1" objects="1" scenarios="1"/>
  <mergeCells count="4">
    <mergeCell ref="A1:J1"/>
    <mergeCell ref="A16:I16"/>
    <mergeCell ref="A12:I12"/>
    <mergeCell ref="A18:I18"/>
  </mergeCells>
  <pageMargins left="0.25" right="0.25" top="0.75000000000000011" bottom="0.75000000000000011" header="0.30000000000000004" footer="0.30000000000000004"/>
  <pageSetup paperSize="9" scale="82" orientation="landscape" horizontalDpi="4294967292" verticalDpi="4294967292" r:id="rId1"/>
  <headerFooter>
    <oddHeader>&amp;L&amp;"Calibri,Regular"&amp;K000000&amp;G&amp;C&amp;"Calibri,Regular"&amp;K000000Planejamento Financeiro&amp;R&amp;"Calibri,Regular"&amp;K000000&amp;G</oddHeader>
  </headerFooter>
  <ignoredErrors>
    <ignoredError sqref="J7 J9" formula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7"/>
  <sheetViews>
    <sheetView showGridLines="0" zoomScale="90" zoomScaleNormal="90" zoomScalePageLayoutView="125" workbookViewId="0">
      <selection activeCell="C17" sqref="C17"/>
    </sheetView>
  </sheetViews>
  <sheetFormatPr defaultColWidth="10.875" defaultRowHeight="15.75" x14ac:dyDescent="0.25"/>
  <cols>
    <col min="1" max="1" width="42.875" style="31" bestFit="1" customWidth="1"/>
    <col min="2" max="2" width="16.5" style="31" customWidth="1"/>
    <col min="3" max="16384" width="10.875" style="31"/>
  </cols>
  <sheetData>
    <row r="1" spans="1:2" s="30" customFormat="1" ht="29.25" customHeight="1" x14ac:dyDescent="0.25">
      <c r="A1" s="185" t="s">
        <v>156</v>
      </c>
      <c r="B1" s="185"/>
    </row>
    <row r="2" spans="1:2" s="30" customFormat="1" ht="15.95" customHeight="1" x14ac:dyDescent="0.25">
      <c r="A2" s="45" t="s">
        <v>152</v>
      </c>
      <c r="B2" s="44" t="s">
        <v>69</v>
      </c>
    </row>
    <row r="3" spans="1:2" ht="21" x14ac:dyDescent="0.25">
      <c r="A3" s="28" t="s">
        <v>3</v>
      </c>
      <c r="B3" s="52">
        <v>3000</v>
      </c>
    </row>
    <row r="4" spans="1:2" ht="21" x14ac:dyDescent="0.25">
      <c r="A4" s="28" t="s">
        <v>4</v>
      </c>
      <c r="B4" s="43">
        <v>300</v>
      </c>
    </row>
    <row r="5" spans="1:2" ht="21" x14ac:dyDescent="0.25">
      <c r="A5" s="28" t="s">
        <v>5</v>
      </c>
      <c r="B5" s="43">
        <v>150</v>
      </c>
    </row>
    <row r="6" spans="1:2" s="30" customFormat="1" ht="21" x14ac:dyDescent="0.25">
      <c r="A6" s="28" t="s">
        <v>6</v>
      </c>
      <c r="B6" s="43">
        <v>1015.08</v>
      </c>
    </row>
    <row r="7" spans="1:2" s="30" customFormat="1" ht="21" x14ac:dyDescent="0.25">
      <c r="A7" s="28" t="s">
        <v>151</v>
      </c>
      <c r="B7" s="43">
        <v>300</v>
      </c>
    </row>
    <row r="8" spans="1:2" s="30" customFormat="1" ht="21" x14ac:dyDescent="0.25">
      <c r="A8" s="38" t="s">
        <v>111</v>
      </c>
      <c r="B8" s="43">
        <v>50</v>
      </c>
    </row>
    <row r="9" spans="1:2" s="30" customFormat="1" ht="21" x14ac:dyDescent="0.25">
      <c r="A9" s="38" t="s">
        <v>112</v>
      </c>
      <c r="B9" s="43">
        <v>70</v>
      </c>
    </row>
    <row r="10" spans="1:2" s="30" customFormat="1" ht="21" x14ac:dyDescent="0.25">
      <c r="A10" s="29" t="s">
        <v>90</v>
      </c>
      <c r="B10" s="43">
        <v>140</v>
      </c>
    </row>
    <row r="11" spans="1:2" s="30" customFormat="1" ht="21" x14ac:dyDescent="0.25">
      <c r="A11" s="29" t="s">
        <v>91</v>
      </c>
      <c r="B11" s="43">
        <v>250</v>
      </c>
    </row>
    <row r="12" spans="1:2" ht="21" x14ac:dyDescent="0.25">
      <c r="A12" s="38" t="s">
        <v>94</v>
      </c>
      <c r="B12" s="43">
        <v>80</v>
      </c>
    </row>
    <row r="13" spans="1:2" s="30" customFormat="1" ht="21" x14ac:dyDescent="0.25">
      <c r="A13" s="29" t="s">
        <v>92</v>
      </c>
      <c r="B13" s="43">
        <v>400</v>
      </c>
    </row>
    <row r="14" spans="1:2" ht="21" x14ac:dyDescent="0.25">
      <c r="A14" s="29" t="s">
        <v>93</v>
      </c>
      <c r="B14" s="43">
        <v>150</v>
      </c>
    </row>
    <row r="15" spans="1:2" ht="21" x14ac:dyDescent="0.25">
      <c r="A15" s="28" t="s">
        <v>95</v>
      </c>
      <c r="B15" s="43">
        <v>250</v>
      </c>
    </row>
    <row r="16" spans="1:2" ht="21" x14ac:dyDescent="0.25">
      <c r="A16" s="28" t="s">
        <v>113</v>
      </c>
      <c r="B16" s="43">
        <v>1000</v>
      </c>
    </row>
    <row r="17" spans="1:2" ht="21" x14ac:dyDescent="0.25">
      <c r="A17" s="28" t="s">
        <v>114</v>
      </c>
      <c r="B17" s="43">
        <v>500</v>
      </c>
    </row>
    <row r="18" spans="1:2" ht="21" x14ac:dyDescent="0.25">
      <c r="A18" s="28" t="s">
        <v>171</v>
      </c>
      <c r="B18" s="43">
        <v>100</v>
      </c>
    </row>
    <row r="19" spans="1:2" ht="28.5" customHeight="1" x14ac:dyDescent="0.25">
      <c r="A19" s="46" t="s">
        <v>55</v>
      </c>
      <c r="B19" s="136">
        <f>SUM(B3:B18)</f>
        <v>7755.08</v>
      </c>
    </row>
    <row r="20" spans="1:2" ht="33" customHeight="1" x14ac:dyDescent="0.25"/>
    <row r="21" spans="1:2" ht="28.5" customHeight="1" x14ac:dyDescent="0.25"/>
    <row r="22" spans="1:2" ht="28.5" customHeight="1" x14ac:dyDescent="0.25"/>
    <row r="23" spans="1:2" ht="28.5" customHeight="1" x14ac:dyDescent="0.25"/>
    <row r="24" spans="1:2" ht="28.5" customHeight="1" x14ac:dyDescent="0.25">
      <c r="B24" s="33"/>
    </row>
    <row r="25" spans="1:2" ht="30" customHeight="1" x14ac:dyDescent="0.25">
      <c r="B25" s="33"/>
    </row>
    <row r="26" spans="1:2" ht="30" customHeight="1" x14ac:dyDescent="0.25">
      <c r="B26" s="33"/>
    </row>
    <row r="27" spans="1:2" ht="30" customHeight="1" x14ac:dyDescent="0.25">
      <c r="B27" s="33"/>
    </row>
    <row r="28" spans="1:2" ht="30" customHeight="1" x14ac:dyDescent="0.25">
      <c r="B28" s="33"/>
    </row>
    <row r="29" spans="1:2" ht="30" customHeight="1" x14ac:dyDescent="0.25">
      <c r="B29" s="33"/>
    </row>
    <row r="30" spans="1:2" ht="30" customHeight="1" x14ac:dyDescent="0.25"/>
    <row r="31" spans="1:2" ht="30" customHeight="1" x14ac:dyDescent="0.25"/>
    <row r="32" spans="1:2" ht="30" customHeight="1" x14ac:dyDescent="0.25"/>
    <row r="33" ht="30" customHeight="1" x14ac:dyDescent="0.25"/>
    <row r="34" ht="30" customHeight="1" x14ac:dyDescent="0.25"/>
    <row r="35" ht="30" customHeight="1" x14ac:dyDescent="0.25"/>
    <row r="36" s="30" customFormat="1" ht="30" customHeight="1" x14ac:dyDescent="0.25"/>
    <row r="37" s="30" customFormat="1" ht="30" customHeight="1" x14ac:dyDescent="0.25"/>
    <row r="38" s="30" customFormat="1" ht="30" customHeight="1" x14ac:dyDescent="0.25"/>
    <row r="39" s="30" customFormat="1" ht="30" customHeight="1" x14ac:dyDescent="0.25"/>
    <row r="40" s="30" customFormat="1" ht="30" customHeight="1" x14ac:dyDescent="0.25"/>
    <row r="41" s="30" customFormat="1" ht="30" customHeight="1" x14ac:dyDescent="0.25"/>
    <row r="42" s="30" customFormat="1" ht="30" customHeight="1" x14ac:dyDescent="0.25"/>
    <row r="43" s="30" customFormat="1" ht="30" customHeight="1" x14ac:dyDescent="0.25"/>
    <row r="44" s="30" customFormat="1" ht="30" customHeight="1" x14ac:dyDescent="0.25"/>
    <row r="45" s="30" customFormat="1" ht="30" customHeight="1" x14ac:dyDescent="0.25"/>
    <row r="46" s="30" customFormat="1" ht="30" customHeight="1" x14ac:dyDescent="0.25"/>
    <row r="47" s="30" customFormat="1" ht="30" customHeight="1" x14ac:dyDescent="0.25"/>
    <row r="48" s="30" customFormat="1" ht="30" customHeight="1" x14ac:dyDescent="0.25"/>
    <row r="49" spans="1:2" s="30" customFormat="1" ht="30" customHeight="1" x14ac:dyDescent="0.25"/>
    <row r="50" spans="1:2" s="32" customFormat="1" ht="32.1" customHeight="1" x14ac:dyDescent="0.25">
      <c r="A50" s="31"/>
      <c r="B50" s="31"/>
    </row>
    <row r="51" spans="1:2" s="32" customFormat="1" ht="30" customHeight="1" x14ac:dyDescent="0.25">
      <c r="A51" s="31"/>
      <c r="B51" s="31"/>
    </row>
    <row r="52" spans="1:2" s="30" customFormat="1" ht="30" customHeight="1" x14ac:dyDescent="0.25"/>
    <row r="53" spans="1:2" s="30" customFormat="1" ht="30" customHeight="1" x14ac:dyDescent="0.25"/>
    <row r="54" spans="1:2" s="30" customFormat="1" ht="30" customHeight="1" x14ac:dyDescent="0.25"/>
    <row r="55" spans="1:2" s="30" customFormat="1" ht="30" customHeight="1" x14ac:dyDescent="0.25"/>
    <row r="56" spans="1:2" s="30" customFormat="1" ht="30" customHeight="1" x14ac:dyDescent="0.25"/>
    <row r="57" spans="1:2" s="30" customFormat="1" ht="30" customHeight="1" x14ac:dyDescent="0.25"/>
    <row r="58" spans="1:2" s="30" customFormat="1" ht="30" customHeight="1" x14ac:dyDescent="0.25"/>
    <row r="59" spans="1:2" s="32" customFormat="1" ht="30" customHeight="1" x14ac:dyDescent="0.25">
      <c r="A59" s="31"/>
      <c r="B59" s="31"/>
    </row>
    <row r="60" spans="1:2" s="32" customFormat="1" ht="30" customHeight="1" x14ac:dyDescent="0.25">
      <c r="A60" s="31"/>
      <c r="B60" s="31"/>
    </row>
    <row r="61" spans="1:2" s="32" customFormat="1" ht="30.95" customHeight="1" x14ac:dyDescent="0.25">
      <c r="A61" s="31"/>
      <c r="B61" s="31"/>
    </row>
    <row r="62" spans="1:2" s="32" customFormat="1" ht="30" customHeight="1" x14ac:dyDescent="0.25">
      <c r="A62" s="31"/>
      <c r="B62" s="31"/>
    </row>
    <row r="63" spans="1:2" ht="81.95" customHeight="1" x14ac:dyDescent="0.25"/>
    <row r="64" spans="1:2" ht="30" customHeight="1" x14ac:dyDescent="0.25"/>
    <row r="72" spans="1:2" ht="30" customHeight="1" x14ac:dyDescent="0.25"/>
    <row r="73" spans="1:2" ht="30" customHeight="1" x14ac:dyDescent="0.25"/>
    <row r="74" spans="1:2" ht="30" customHeight="1" x14ac:dyDescent="0.25"/>
    <row r="75" spans="1:2" ht="30" customHeight="1" x14ac:dyDescent="0.25"/>
    <row r="76" spans="1:2" ht="30" customHeight="1" x14ac:dyDescent="0.25"/>
    <row r="77" spans="1:2" ht="99" customHeight="1" x14ac:dyDescent="0.25"/>
    <row r="78" spans="1:2" ht="30" customHeight="1" x14ac:dyDescent="0.25"/>
    <row r="80" spans="1:2" s="32" customFormat="1" ht="30" customHeight="1" x14ac:dyDescent="0.25">
      <c r="A80" s="31"/>
      <c r="B80" s="31"/>
    </row>
    <row r="81" spans="1:2" s="32" customFormat="1" ht="30" customHeight="1" x14ac:dyDescent="0.25">
      <c r="A81" s="31"/>
      <c r="B81" s="31"/>
    </row>
    <row r="82" spans="1:2" s="32" customFormat="1" ht="30" customHeight="1" x14ac:dyDescent="0.25">
      <c r="A82" s="31"/>
      <c r="B82" s="31"/>
    </row>
    <row r="83" spans="1:2" s="32" customFormat="1" ht="30" customHeight="1" x14ac:dyDescent="0.25">
      <c r="A83" s="31"/>
      <c r="B83" s="31"/>
    </row>
    <row r="84" spans="1:2" s="32" customFormat="1" ht="30" customHeight="1" x14ac:dyDescent="0.25">
      <c r="A84" s="31"/>
      <c r="B84" s="31"/>
    </row>
    <row r="85" spans="1:2" s="32" customFormat="1" ht="30" customHeight="1" x14ac:dyDescent="0.25">
      <c r="A85" s="31"/>
      <c r="B85" s="31"/>
    </row>
    <row r="86" spans="1:2" s="32" customFormat="1" ht="30" customHeight="1" x14ac:dyDescent="0.25">
      <c r="A86" s="31"/>
      <c r="B86" s="31"/>
    </row>
    <row r="87" spans="1:2" s="32" customFormat="1" ht="30" customHeight="1" x14ac:dyDescent="0.25">
      <c r="A87" s="31"/>
      <c r="B87" s="31"/>
    </row>
    <row r="88" spans="1:2" s="32" customFormat="1" ht="30" customHeight="1" x14ac:dyDescent="0.25">
      <c r="A88" s="31"/>
      <c r="B88" s="31"/>
    </row>
    <row r="89" spans="1:2" s="32" customFormat="1" ht="30" customHeight="1" x14ac:dyDescent="0.25">
      <c r="A89" s="31"/>
      <c r="B89" s="31"/>
    </row>
    <row r="90" spans="1:2" s="32" customFormat="1" ht="30" customHeight="1" x14ac:dyDescent="0.25">
      <c r="A90" s="31"/>
      <c r="B90" s="31"/>
    </row>
    <row r="91" spans="1:2" s="32" customFormat="1" ht="30" customHeight="1" x14ac:dyDescent="0.25">
      <c r="A91" s="31"/>
      <c r="B91" s="31"/>
    </row>
    <row r="92" spans="1:2" s="32" customFormat="1" ht="30" customHeight="1" x14ac:dyDescent="0.25">
      <c r="A92" s="31"/>
      <c r="B92" s="31"/>
    </row>
    <row r="93" spans="1:2" s="32" customFormat="1" ht="30" customHeight="1" x14ac:dyDescent="0.25">
      <c r="A93" s="31"/>
      <c r="B93" s="31"/>
    </row>
    <row r="95" spans="1:2" ht="30" customHeight="1" x14ac:dyDescent="0.25"/>
    <row r="96" spans="1:2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</sheetData>
  <mergeCells count="1">
    <mergeCell ref="A1:B1"/>
  </mergeCells>
  <pageMargins left="0.25" right="0.25" top="0.75000000000000011" bottom="0.75000000000000011" header="0.30000000000000004" footer="0.30000000000000004"/>
  <pageSetup paperSize="9" orientation="landscape" horizontalDpi="4294967292" verticalDpi="4294967292" r:id="rId1"/>
  <headerFooter>
    <oddHeader>&amp;L&amp;"Calibri,Regular"&amp;K000000&amp;G&amp;C&amp;"Calibri,Regular"&amp;K000000Planejamento Financeiro&amp;R&amp;"Calibri,Regular"&amp;K000000&amp;G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X109"/>
  <sheetViews>
    <sheetView showGridLines="0" zoomScale="90" zoomScaleNormal="90" zoomScalePageLayoutView="125" workbookViewId="0">
      <selection activeCell="D4" sqref="D4"/>
    </sheetView>
  </sheetViews>
  <sheetFormatPr defaultColWidth="10.875" defaultRowHeight="15.75" x14ac:dyDescent="0.25"/>
  <cols>
    <col min="1" max="1" width="26.875" style="31" customWidth="1"/>
    <col min="2" max="2" width="8" style="31" customWidth="1"/>
    <col min="3" max="5" width="13.375" style="31" bestFit="1" customWidth="1"/>
    <col min="6" max="9" width="14.625" style="31" bestFit="1" customWidth="1"/>
    <col min="10" max="16384" width="10.875" style="31"/>
  </cols>
  <sheetData>
    <row r="1" spans="1:50" s="30" customFormat="1" ht="29.25" customHeight="1" x14ac:dyDescent="0.25">
      <c r="A1" s="190" t="s">
        <v>154</v>
      </c>
      <c r="B1" s="190"/>
      <c r="C1" s="190"/>
      <c r="D1" s="190"/>
      <c r="E1" s="190"/>
      <c r="F1" s="190"/>
      <c r="G1" s="190"/>
      <c r="H1" s="190"/>
      <c r="I1" s="190"/>
    </row>
    <row r="2" spans="1:50" s="30" customFormat="1" ht="15.95" customHeight="1" x14ac:dyDescent="0.25">
      <c r="A2" s="137"/>
      <c r="B2" s="137"/>
      <c r="C2" s="138" t="s">
        <v>71</v>
      </c>
      <c r="D2" s="138" t="s">
        <v>72</v>
      </c>
      <c r="E2" s="138" t="s">
        <v>73</v>
      </c>
      <c r="F2" s="138" t="s">
        <v>74</v>
      </c>
      <c r="G2" s="138" t="s">
        <v>75</v>
      </c>
      <c r="H2" s="138" t="s">
        <v>76</v>
      </c>
      <c r="I2" s="138" t="s">
        <v>77</v>
      </c>
    </row>
    <row r="3" spans="1:50" ht="28.5" customHeight="1" x14ac:dyDescent="0.35">
      <c r="A3" s="188" t="s">
        <v>153</v>
      </c>
      <c r="B3" s="189"/>
      <c r="C3" s="139">
        <f>Faturamento!C$13</f>
        <v>40960</v>
      </c>
      <c r="D3" s="139">
        <f>Faturamento!D$13</f>
        <v>38880</v>
      </c>
      <c r="E3" s="139">
        <f>Faturamento!E$13</f>
        <v>39520</v>
      </c>
      <c r="F3" s="139">
        <f>Faturamento!F$13</f>
        <v>34780</v>
      </c>
      <c r="G3" s="139">
        <f>Faturamento!G$13</f>
        <v>38480</v>
      </c>
      <c r="H3" s="139">
        <f>Faturamento!H$13</f>
        <v>40000</v>
      </c>
      <c r="I3" s="139">
        <f>Faturamento!I$13</f>
        <v>41040</v>
      </c>
    </row>
    <row r="4" spans="1:50" ht="28.5" customHeight="1" x14ac:dyDescent="0.35">
      <c r="A4" s="188" t="s">
        <v>155</v>
      </c>
      <c r="B4" s="189"/>
      <c r="C4" s="139">
        <f>Faturamento!C$31</f>
        <v>9360</v>
      </c>
      <c r="D4" s="139">
        <f>Faturamento!D$31</f>
        <v>12480</v>
      </c>
      <c r="E4" s="139">
        <f>Faturamento!E$31</f>
        <v>40720</v>
      </c>
      <c r="F4" s="140">
        <f>Faturamento!F$31</f>
        <v>37950</v>
      </c>
      <c r="G4" s="139">
        <f>Faturamento!G$31</f>
        <v>38830</v>
      </c>
      <c r="H4" s="139">
        <f>Faturamento!H$31</f>
        <v>36400</v>
      </c>
      <c r="I4" s="139">
        <f>Faturamento!I$31</f>
        <v>38960</v>
      </c>
    </row>
    <row r="5" spans="1:50" ht="28.5" customHeight="1" x14ac:dyDescent="0.35">
      <c r="A5" s="193" t="s">
        <v>157</v>
      </c>
      <c r="B5" s="194"/>
      <c r="C5" s="141">
        <f>Impostos!C$12</f>
        <v>1341.288</v>
      </c>
      <c r="D5" s="142">
        <f>Impostos!D$12</f>
        <v>1788.3840000000002</v>
      </c>
      <c r="E5" s="141">
        <f>Impostos!E$12</f>
        <v>10362.776</v>
      </c>
      <c r="F5" s="141">
        <f>Impostos!F$12</f>
        <v>9707.1149999999998</v>
      </c>
      <c r="G5" s="141">
        <f>Impostos!G$12</f>
        <v>9897.8989999999994</v>
      </c>
      <c r="H5" s="142">
        <f>Impostos!H$12</f>
        <v>9045.1759999999995</v>
      </c>
      <c r="I5" s="141">
        <f>Impostos!I$12</f>
        <v>9787.1679999999997</v>
      </c>
    </row>
    <row r="6" spans="1:50" s="32" customFormat="1" ht="12.75" customHeight="1" x14ac:dyDescent="0.25">
      <c r="A6" s="128"/>
      <c r="B6" s="129"/>
      <c r="C6" s="130"/>
      <c r="D6" s="131"/>
      <c r="E6" s="131"/>
      <c r="F6" s="131"/>
      <c r="G6" s="131"/>
      <c r="H6" s="131"/>
      <c r="I6" s="131"/>
      <c r="J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Q6" s="31"/>
      <c r="AR6" s="31"/>
      <c r="AS6" s="31"/>
      <c r="AT6" s="31"/>
      <c r="AU6" s="31"/>
      <c r="AV6" s="31"/>
      <c r="AW6" s="31"/>
      <c r="AX6" s="31"/>
    </row>
    <row r="7" spans="1:50" s="30" customFormat="1" ht="28.5" customHeight="1" x14ac:dyDescent="0.25">
      <c r="A7" s="195" t="s">
        <v>57</v>
      </c>
      <c r="B7" s="195"/>
      <c r="C7" s="143">
        <f>C4-C5</f>
        <v>8018.7119999999995</v>
      </c>
      <c r="D7" s="143">
        <f t="shared" ref="D7:I7" si="0">D4-D5</f>
        <v>10691.616</v>
      </c>
      <c r="E7" s="143">
        <f t="shared" si="0"/>
        <v>30357.224000000002</v>
      </c>
      <c r="F7" s="143">
        <f t="shared" si="0"/>
        <v>28242.885000000002</v>
      </c>
      <c r="G7" s="143">
        <f t="shared" si="0"/>
        <v>28932.101000000002</v>
      </c>
      <c r="H7" s="143">
        <f t="shared" si="0"/>
        <v>27354.824000000001</v>
      </c>
      <c r="I7" s="143">
        <f t="shared" si="0"/>
        <v>29172.832000000002</v>
      </c>
    </row>
    <row r="8" spans="1:50" s="30" customFormat="1" ht="20.25" customHeight="1" x14ac:dyDescent="0.35">
      <c r="A8" s="144" t="s">
        <v>39</v>
      </c>
      <c r="B8" s="145" t="s">
        <v>158</v>
      </c>
      <c r="C8" s="139">
        <f>SUM(Despesas!$B$19,Pessoal!$J$18,Insumos!C$7)</f>
        <v>47906.578565786884</v>
      </c>
      <c r="D8" s="139">
        <f>SUM(Despesas!$B$19,Pessoal!$J$18,Insumos!D$7)</f>
        <v>47754.378565786887</v>
      </c>
      <c r="E8" s="139">
        <f>SUM(Despesas!$B$19,Pessoal!$J$18,Insumos!E$7)</f>
        <v>47793.578565786884</v>
      </c>
      <c r="F8" s="139">
        <f>SUM(Despesas!$B$19,Pessoal!$J$18,Insumos!F$7)</f>
        <v>47158.778565786888</v>
      </c>
      <c r="G8" s="140">
        <f>SUM(Despesas!$B$19,Pessoal!$J$18,Insumos!G$7)</f>
        <v>47717.478565786885</v>
      </c>
      <c r="H8" s="139">
        <f>SUM(Despesas!$B$19,Pessoal!$J$18,Insumos!H$7)</f>
        <v>47832.778565786888</v>
      </c>
      <c r="I8" s="139">
        <f>SUM(Despesas!$B$19,Pessoal!$J$18,Insumos!I$7)</f>
        <v>47908.878565786887</v>
      </c>
    </row>
    <row r="9" spans="1:50" s="32" customFormat="1" ht="12.75" customHeight="1" x14ac:dyDescent="0.25">
      <c r="A9" s="128"/>
      <c r="B9" s="129"/>
      <c r="C9" s="130"/>
      <c r="D9" s="131"/>
      <c r="E9" s="131"/>
      <c r="F9" s="131"/>
      <c r="G9" s="131"/>
      <c r="H9" s="131"/>
      <c r="I9" s="131"/>
      <c r="J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Q9" s="31"/>
      <c r="AR9" s="31"/>
      <c r="AS9" s="31"/>
      <c r="AT9" s="31"/>
      <c r="AU9" s="31"/>
      <c r="AV9" s="31"/>
      <c r="AW9" s="31"/>
      <c r="AX9" s="31"/>
    </row>
    <row r="10" spans="1:50" s="30" customFormat="1" ht="24.95" customHeight="1" x14ac:dyDescent="0.25">
      <c r="A10" s="196" t="s">
        <v>28</v>
      </c>
      <c r="B10" s="197"/>
      <c r="C10" s="102">
        <f>C7-C8</f>
        <v>-39887.866565786884</v>
      </c>
      <c r="D10" s="102">
        <f t="shared" ref="D10:I10" si="1">D7-D8</f>
        <v>-37062.762565786885</v>
      </c>
      <c r="E10" s="102">
        <f t="shared" si="1"/>
        <v>-17436.354565786882</v>
      </c>
      <c r="F10" s="102">
        <f t="shared" si="1"/>
        <v>-18915.893565786886</v>
      </c>
      <c r="G10" s="102">
        <f t="shared" si="1"/>
        <v>-18785.377565786883</v>
      </c>
      <c r="H10" s="102">
        <f t="shared" si="1"/>
        <v>-20477.954565786888</v>
      </c>
      <c r="I10" s="102">
        <f t="shared" si="1"/>
        <v>-18736.046565786884</v>
      </c>
    </row>
    <row r="11" spans="1:50" s="30" customFormat="1" ht="21" x14ac:dyDescent="0.35">
      <c r="A11" s="193" t="s">
        <v>58</v>
      </c>
      <c r="B11" s="194"/>
      <c r="C11" s="146">
        <v>0</v>
      </c>
      <c r="D11" s="146">
        <f>IF(C$18&lt;0,-C$18*2%,0)</f>
        <v>797.7573313157377</v>
      </c>
      <c r="E11" s="146">
        <f t="shared" ref="E11:I11" si="2">IF(D$18&lt;0,-D$18*2%,0)</f>
        <v>1554.9677292577903</v>
      </c>
      <c r="F11" s="146">
        <f t="shared" si="2"/>
        <v>1934.7941751586839</v>
      </c>
      <c r="G11" s="146">
        <f t="shared" si="2"/>
        <v>2351.8079299775954</v>
      </c>
      <c r="H11" s="146">
        <f t="shared" si="2"/>
        <v>2774.5516398928849</v>
      </c>
      <c r="I11" s="146">
        <f t="shared" si="2"/>
        <v>3239.6017640064802</v>
      </c>
    </row>
    <row r="12" spans="1:50" s="30" customFormat="1" ht="21" x14ac:dyDescent="0.35">
      <c r="A12" s="193" t="s">
        <v>59</v>
      </c>
      <c r="B12" s="194"/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</row>
    <row r="13" spans="1:50" s="30" customFormat="1" ht="21" x14ac:dyDescent="0.35">
      <c r="A13" s="193" t="s">
        <v>60</v>
      </c>
      <c r="B13" s="194"/>
      <c r="C13" s="147">
        <v>0</v>
      </c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</row>
    <row r="14" spans="1:50" ht="21" x14ac:dyDescent="0.35">
      <c r="A14" s="193" t="s">
        <v>61</v>
      </c>
      <c r="B14" s="194"/>
      <c r="C14" s="147"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</row>
    <row r="15" spans="1:50" s="32" customFormat="1" ht="12.75" customHeight="1" thickBot="1" x14ac:dyDescent="0.3">
      <c r="A15" s="128"/>
      <c r="B15" s="129"/>
      <c r="C15" s="130"/>
      <c r="D15" s="131"/>
      <c r="E15" s="131"/>
      <c r="F15" s="131"/>
      <c r="G15" s="131"/>
      <c r="H15" s="131"/>
      <c r="I15" s="131"/>
      <c r="J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Q15" s="31"/>
      <c r="AR15" s="31"/>
      <c r="AS15" s="31"/>
      <c r="AT15" s="31"/>
      <c r="AU15" s="31"/>
      <c r="AV15" s="31"/>
      <c r="AW15" s="31"/>
      <c r="AX15" s="31"/>
    </row>
    <row r="16" spans="1:50" s="30" customFormat="1" ht="24.95" customHeight="1" thickTop="1" thickBot="1" x14ac:dyDescent="0.3">
      <c r="A16" s="191" t="s">
        <v>62</v>
      </c>
      <c r="B16" s="192"/>
      <c r="C16" s="148">
        <f>C10-SUM(C11:C14)</f>
        <v>-39887.866565786884</v>
      </c>
      <c r="D16" s="148">
        <f t="shared" ref="D16:I16" si="3">D10-SUM(D11:D14)</f>
        <v>-37860.519897102626</v>
      </c>
      <c r="E16" s="148">
        <f t="shared" si="3"/>
        <v>-18991.322295044673</v>
      </c>
      <c r="F16" s="148">
        <f t="shared" si="3"/>
        <v>-20850.68774094557</v>
      </c>
      <c r="G16" s="148">
        <f t="shared" si="3"/>
        <v>-21137.185495764479</v>
      </c>
      <c r="H16" s="148">
        <f t="shared" si="3"/>
        <v>-23252.506205679772</v>
      </c>
      <c r="I16" s="148">
        <f t="shared" si="3"/>
        <v>-21975.648329793366</v>
      </c>
    </row>
    <row r="17" spans="1:50" s="32" customFormat="1" ht="12.75" customHeight="1" thickTop="1" thickBot="1" x14ac:dyDescent="0.3">
      <c r="A17" s="128"/>
      <c r="B17" s="129"/>
      <c r="C17" s="130"/>
      <c r="D17" s="131"/>
      <c r="E17" s="131"/>
      <c r="F17" s="131"/>
      <c r="G17" s="131"/>
      <c r="H17" s="131"/>
      <c r="I17" s="131"/>
      <c r="J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Q17" s="31"/>
      <c r="AR17" s="31"/>
      <c r="AS17" s="31"/>
      <c r="AT17" s="31"/>
      <c r="AU17" s="31"/>
      <c r="AV17" s="31"/>
      <c r="AW17" s="31"/>
      <c r="AX17" s="31"/>
    </row>
    <row r="18" spans="1:50" ht="28.5" customHeight="1" thickTop="1" x14ac:dyDescent="0.25">
      <c r="A18" s="186" t="s">
        <v>115</v>
      </c>
      <c r="B18" s="187"/>
      <c r="C18" s="149">
        <f>C16</f>
        <v>-39887.866565786884</v>
      </c>
      <c r="D18" s="149">
        <f>D$16+C$18</f>
        <v>-77748.38646288951</v>
      </c>
      <c r="E18" s="149">
        <f t="shared" ref="E18:I18" si="4">E$16+D$18</f>
        <v>-96739.70875793419</v>
      </c>
      <c r="F18" s="149">
        <f t="shared" si="4"/>
        <v>-117590.39649887977</v>
      </c>
      <c r="G18" s="149">
        <f t="shared" si="4"/>
        <v>-138727.58199464425</v>
      </c>
      <c r="H18" s="149">
        <f t="shared" si="4"/>
        <v>-161980.08820032401</v>
      </c>
      <c r="I18" s="149">
        <f t="shared" si="4"/>
        <v>-183955.73653011737</v>
      </c>
    </row>
    <row r="19" spans="1:50" ht="28.5" customHeight="1" x14ac:dyDescent="0.25"/>
    <row r="20" spans="1:50" ht="28.5" customHeight="1" x14ac:dyDescent="0.25"/>
    <row r="21" spans="1:50" ht="28.5" customHeight="1" x14ac:dyDescent="0.25"/>
    <row r="22" spans="1:50" ht="33" customHeight="1" x14ac:dyDescent="0.25"/>
    <row r="23" spans="1:50" ht="28.5" customHeight="1" x14ac:dyDescent="0.25"/>
    <row r="24" spans="1:50" ht="28.5" customHeight="1" x14ac:dyDescent="0.25"/>
    <row r="25" spans="1:50" ht="28.5" customHeight="1" x14ac:dyDescent="0.25"/>
    <row r="26" spans="1:50" ht="28.5" customHeight="1" x14ac:dyDescent="0.25"/>
    <row r="27" spans="1:50" ht="30" customHeight="1" x14ac:dyDescent="0.25"/>
    <row r="28" spans="1:50" ht="30" customHeight="1" x14ac:dyDescent="0.25"/>
    <row r="29" spans="1:50" ht="30" customHeight="1" x14ac:dyDescent="0.25"/>
    <row r="30" spans="1:50" ht="30" customHeight="1" x14ac:dyDescent="0.25"/>
    <row r="31" spans="1:50" ht="30" customHeight="1" x14ac:dyDescent="0.25"/>
    <row r="32" spans="1:50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s="30" customFormat="1" ht="30" customHeight="1" x14ac:dyDescent="0.25"/>
    <row r="39" s="30" customFormat="1" ht="30" customHeight="1" x14ac:dyDescent="0.25"/>
    <row r="40" s="30" customFormat="1" ht="30" customHeight="1" x14ac:dyDescent="0.25"/>
    <row r="41" s="30" customFormat="1" ht="30" customHeight="1" x14ac:dyDescent="0.25"/>
    <row r="42" s="30" customFormat="1" ht="30" customHeight="1" x14ac:dyDescent="0.25"/>
    <row r="43" s="30" customFormat="1" ht="30" customHeight="1" x14ac:dyDescent="0.25"/>
    <row r="44" s="30" customFormat="1" ht="30" customHeight="1" x14ac:dyDescent="0.25"/>
    <row r="45" s="30" customFormat="1" ht="30" customHeight="1" x14ac:dyDescent="0.25"/>
    <row r="46" s="30" customFormat="1" ht="30" customHeight="1" x14ac:dyDescent="0.25"/>
    <row r="47" s="30" customFormat="1" ht="30" customHeight="1" x14ac:dyDescent="0.25"/>
    <row r="48" s="30" customFormat="1" ht="30" customHeight="1" x14ac:dyDescent="0.25"/>
    <row r="49" spans="1:9" s="30" customFormat="1" ht="30" customHeight="1" x14ac:dyDescent="0.25"/>
    <row r="50" spans="1:9" s="30" customFormat="1" ht="30" customHeight="1" x14ac:dyDescent="0.25"/>
    <row r="51" spans="1:9" s="30" customFormat="1" ht="30" customHeight="1" x14ac:dyDescent="0.25"/>
    <row r="52" spans="1:9" s="32" customFormat="1" ht="32.1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</row>
    <row r="53" spans="1:9" s="32" customFormat="1" ht="30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</row>
    <row r="54" spans="1:9" s="30" customFormat="1" ht="30" customHeight="1" x14ac:dyDescent="0.25"/>
    <row r="55" spans="1:9" s="30" customFormat="1" ht="30" customHeight="1" x14ac:dyDescent="0.25"/>
    <row r="56" spans="1:9" s="30" customFormat="1" ht="30" customHeight="1" x14ac:dyDescent="0.25"/>
    <row r="57" spans="1:9" s="30" customFormat="1" ht="30" customHeight="1" x14ac:dyDescent="0.25"/>
    <row r="58" spans="1:9" s="30" customFormat="1" ht="30" customHeight="1" x14ac:dyDescent="0.25"/>
    <row r="59" spans="1:9" s="30" customFormat="1" ht="30" customHeight="1" x14ac:dyDescent="0.25"/>
    <row r="60" spans="1:9" s="30" customFormat="1" ht="30" customHeight="1" x14ac:dyDescent="0.25"/>
    <row r="61" spans="1:9" s="32" customFormat="1" ht="30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</row>
    <row r="62" spans="1:9" s="32" customFormat="1" ht="30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</row>
    <row r="63" spans="1:9" s="32" customFormat="1" ht="30.9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</row>
    <row r="64" spans="1:9" s="32" customFormat="1" ht="30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</row>
    <row r="65" ht="81.95" customHeight="1" x14ac:dyDescent="0.25"/>
    <row r="66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99" customHeight="1" x14ac:dyDescent="0.25"/>
    <row r="80" ht="30" customHeight="1" x14ac:dyDescent="0.25"/>
    <row r="82" spans="1:9" s="32" customFormat="1" ht="30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</row>
    <row r="83" spans="1:9" s="32" customFormat="1" ht="30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</row>
    <row r="84" spans="1:9" s="32" customFormat="1" ht="30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</row>
    <row r="85" spans="1:9" s="32" customFormat="1" ht="30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</row>
    <row r="86" spans="1:9" s="32" customFormat="1" ht="30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</row>
    <row r="87" spans="1:9" s="32" customFormat="1" ht="30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</row>
    <row r="88" spans="1:9" s="32" customFormat="1" ht="30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</row>
    <row r="89" spans="1:9" s="32" customFormat="1" ht="30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</row>
    <row r="90" spans="1:9" s="32" customFormat="1" ht="30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</row>
    <row r="91" spans="1:9" s="32" customFormat="1" ht="30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</row>
    <row r="92" spans="1:9" s="32" customFormat="1" ht="30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</row>
    <row r="93" spans="1:9" s="32" customFormat="1" ht="30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</row>
    <row r="94" spans="1:9" s="32" customFormat="1" ht="30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</row>
    <row r="95" spans="1:9" s="32" customFormat="1" ht="30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</row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</sheetData>
  <sheetProtection sheet="1" objects="1" scenarios="1"/>
  <mergeCells count="12">
    <mergeCell ref="A18:B18"/>
    <mergeCell ref="A3:B3"/>
    <mergeCell ref="A4:B4"/>
    <mergeCell ref="A1:I1"/>
    <mergeCell ref="A16:B16"/>
    <mergeCell ref="A5:B5"/>
    <mergeCell ref="A7:B7"/>
    <mergeCell ref="A11:B11"/>
    <mergeCell ref="A12:B12"/>
    <mergeCell ref="A13:B13"/>
    <mergeCell ref="A14:B14"/>
    <mergeCell ref="A10:B10"/>
  </mergeCells>
  <conditionalFormatting sqref="C3:I18">
    <cfRule type="cellIs" dxfId="0" priority="1" operator="lessThan">
      <formula>0</formula>
    </cfRule>
  </conditionalFormatting>
  <pageMargins left="0.25" right="0.25" top="0.75000000000000011" bottom="0.75000000000000011" header="0.30000000000000004" footer="0.30000000000000004"/>
  <pageSetup paperSize="9" scale="95" orientation="landscape" horizontalDpi="4294967292" verticalDpi="4294967292" r:id="rId1"/>
  <headerFooter>
    <oddHeader>&amp;L&amp;"Calibri,Regular"&amp;K000000&amp;G&amp;C&amp;"Calibri,Regular"&amp;K000000Planejamento Financeiro&amp;R&amp;"Calibri,Regular"&amp;K000000&amp;G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H108"/>
  <sheetViews>
    <sheetView zoomScale="90" zoomScaleNormal="90" zoomScalePageLayoutView="125" workbookViewId="0">
      <selection activeCell="D14" sqref="D14"/>
    </sheetView>
  </sheetViews>
  <sheetFormatPr defaultColWidth="10.875" defaultRowHeight="15.75" x14ac:dyDescent="0.25"/>
  <cols>
    <col min="1" max="1" width="44.375" style="31" customWidth="1"/>
    <col min="2" max="2" width="16.625" style="31" bestFit="1" customWidth="1"/>
    <col min="3" max="3" width="12.875" style="31" customWidth="1"/>
    <col min="4" max="8" width="19.625" style="31" customWidth="1"/>
    <col min="9" max="9" width="12.875" style="31" customWidth="1"/>
    <col min="10" max="16384" width="10.875" style="31"/>
  </cols>
  <sheetData>
    <row r="1" spans="1:8" s="30" customFormat="1" ht="29.25" customHeight="1" x14ac:dyDescent="0.25">
      <c r="A1" s="198" t="s">
        <v>159</v>
      </c>
      <c r="B1" s="198"/>
      <c r="C1" s="198"/>
      <c r="D1" s="198"/>
      <c r="E1" s="198"/>
      <c r="F1" s="198"/>
      <c r="G1" s="198"/>
      <c r="H1" s="198"/>
    </row>
    <row r="2" spans="1:8" s="30" customFormat="1" ht="15.95" customHeight="1" x14ac:dyDescent="0.25">
      <c r="A2" s="73"/>
      <c r="B2" s="73"/>
      <c r="C2" s="73"/>
      <c r="D2" s="73"/>
      <c r="E2" s="150"/>
      <c r="F2" s="73"/>
      <c r="G2" s="73"/>
      <c r="H2" s="73"/>
    </row>
    <row r="3" spans="1:8" ht="28.5" x14ac:dyDescent="0.45">
      <c r="A3" s="151" t="s">
        <v>160</v>
      </c>
      <c r="B3" s="152">
        <f>Despesas!$B$19+Pessoal!$J$18</f>
        <v>42588.378565786887</v>
      </c>
      <c r="C3" s="78" t="s">
        <v>161</v>
      </c>
      <c r="D3" s="78"/>
      <c r="E3" s="153" t="s">
        <v>119</v>
      </c>
      <c r="F3" s="78"/>
      <c r="G3" s="78"/>
      <c r="H3" s="78"/>
    </row>
    <row r="4" spans="1:8" ht="28.5" x14ac:dyDescent="0.45">
      <c r="A4" s="154" t="s">
        <v>64</v>
      </c>
      <c r="B4" s="155">
        <v>160</v>
      </c>
      <c r="C4" s="78" t="s">
        <v>118</v>
      </c>
      <c r="D4" s="78"/>
      <c r="E4" s="153" t="s">
        <v>176</v>
      </c>
      <c r="F4" s="78"/>
      <c r="G4" s="78"/>
      <c r="H4" s="78"/>
    </row>
    <row r="5" spans="1:8" ht="28.5" x14ac:dyDescent="0.45">
      <c r="A5" s="154" t="s">
        <v>2</v>
      </c>
      <c r="B5" s="156">
        <v>0.5</v>
      </c>
      <c r="C5" s="78" t="s">
        <v>162</v>
      </c>
      <c r="D5" s="78"/>
      <c r="E5" s="153"/>
      <c r="F5" s="78"/>
      <c r="G5" s="78"/>
      <c r="H5" s="78"/>
    </row>
    <row r="6" spans="1:8" s="30" customFormat="1" ht="29.25" thickBot="1" x14ac:dyDescent="0.5">
      <c r="A6" s="157" t="s">
        <v>85</v>
      </c>
      <c r="B6" s="158">
        <f>B3/(B4*B5)</f>
        <v>532.35473207233611</v>
      </c>
      <c r="C6" s="159"/>
      <c r="D6" s="159"/>
      <c r="E6" s="160" t="s">
        <v>167</v>
      </c>
      <c r="F6" s="159"/>
      <c r="G6" s="159"/>
      <c r="H6" s="159"/>
    </row>
    <row r="7" spans="1:8" s="30" customFormat="1" ht="29.25" thickTop="1" x14ac:dyDescent="0.45">
      <c r="A7" s="161" t="s">
        <v>163</v>
      </c>
      <c r="B7" s="162">
        <v>0.22</v>
      </c>
      <c r="C7" s="159"/>
      <c r="D7" s="159"/>
      <c r="E7" s="160" t="s">
        <v>168</v>
      </c>
      <c r="F7" s="159"/>
      <c r="G7" s="159"/>
      <c r="H7" s="159"/>
    </row>
    <row r="8" spans="1:8" s="30" customFormat="1" ht="21" x14ac:dyDescent="0.35">
      <c r="A8" s="154" t="s">
        <v>66</v>
      </c>
      <c r="B8" s="163">
        <v>0.25</v>
      </c>
      <c r="C8" s="159"/>
      <c r="D8" s="159"/>
      <c r="E8" s="164"/>
      <c r="F8" s="159"/>
      <c r="G8" s="159"/>
      <c r="H8" s="159"/>
    </row>
    <row r="9" spans="1:8" s="30" customFormat="1" ht="28.5" customHeight="1" x14ac:dyDescent="0.25">
      <c r="A9" s="90"/>
      <c r="B9" s="159"/>
      <c r="C9" s="159"/>
      <c r="D9" s="159"/>
      <c r="E9" s="159"/>
      <c r="F9" s="159"/>
      <c r="G9" s="159"/>
      <c r="H9" s="159"/>
    </row>
    <row r="10" spans="1:8" s="30" customFormat="1" ht="28.5" customHeight="1" x14ac:dyDescent="0.25">
      <c r="A10" s="165" t="s">
        <v>86</v>
      </c>
      <c r="B10" s="166" t="s">
        <v>65</v>
      </c>
      <c r="C10" s="166" t="s">
        <v>87</v>
      </c>
      <c r="D10" s="166" t="s">
        <v>165</v>
      </c>
      <c r="E10" s="167" t="s">
        <v>166</v>
      </c>
      <c r="F10" s="168" t="s">
        <v>164</v>
      </c>
      <c r="G10" s="166" t="s">
        <v>116</v>
      </c>
      <c r="H10" s="166" t="s">
        <v>169</v>
      </c>
    </row>
    <row r="11" spans="1:8" s="30" customFormat="1" ht="28.5" customHeight="1" x14ac:dyDescent="0.25">
      <c r="A11" s="77" t="s">
        <v>121</v>
      </c>
      <c r="B11" s="169">
        <f>Insumos!B$3</f>
        <v>2.2999999999999998</v>
      </c>
      <c r="C11" s="170">
        <v>0.5</v>
      </c>
      <c r="D11" s="171">
        <f>$B$6*C11</f>
        <v>266.17736603616805</v>
      </c>
      <c r="E11" s="172">
        <f>D11+B11</f>
        <v>268.47736603616806</v>
      </c>
      <c r="F11" s="173">
        <f>E11/(1-($B$7+$B$8))</f>
        <v>506.56106799276989</v>
      </c>
      <c r="G11" s="173">
        <f>Faturamento!$B3</f>
        <v>80</v>
      </c>
      <c r="H11" s="173">
        <f>G11-F11</f>
        <v>-426.56106799276989</v>
      </c>
    </row>
    <row r="12" spans="1:8" ht="28.5" customHeight="1" x14ac:dyDescent="0.25">
      <c r="A12" s="77" t="s">
        <v>122</v>
      </c>
      <c r="B12" s="169">
        <f>Insumos!B$4</f>
        <v>2.2999999999999998</v>
      </c>
      <c r="C12" s="170">
        <v>0.5</v>
      </c>
      <c r="D12" s="171">
        <f>$B$6*C12</f>
        <v>266.17736603616805</v>
      </c>
      <c r="E12" s="172">
        <f>D12+B12</f>
        <v>268.47736603616806</v>
      </c>
      <c r="F12" s="173">
        <f t="shared" ref="F12:F14" si="0">E12/(1-($B$7+$B$8))</f>
        <v>506.56106799276989</v>
      </c>
      <c r="G12" s="173">
        <f>Faturamento!$B4</f>
        <v>240</v>
      </c>
      <c r="H12" s="173">
        <f t="shared" ref="H12:H14" si="1">G12-F12</f>
        <v>-266.56106799276989</v>
      </c>
    </row>
    <row r="13" spans="1:8" s="30" customFormat="1" ht="24.95" customHeight="1" x14ac:dyDescent="0.25">
      <c r="A13" s="77" t="s">
        <v>123</v>
      </c>
      <c r="B13" s="169">
        <f>Insumos!B$5</f>
        <v>30</v>
      </c>
      <c r="C13" s="170">
        <v>0.5</v>
      </c>
      <c r="D13" s="171">
        <f>$B$6*C13</f>
        <v>266.17736603616805</v>
      </c>
      <c r="E13" s="172">
        <f>D13+B13</f>
        <v>296.17736603616805</v>
      </c>
      <c r="F13" s="173">
        <f t="shared" si="0"/>
        <v>558.82521893616615</v>
      </c>
      <c r="G13" s="173">
        <f>Faturamento!$B5</f>
        <v>160</v>
      </c>
      <c r="H13" s="173">
        <f t="shared" si="1"/>
        <v>-398.82521893616615</v>
      </c>
    </row>
    <row r="14" spans="1:8" ht="20.25" customHeight="1" x14ac:dyDescent="0.25">
      <c r="A14" s="77" t="s">
        <v>124</v>
      </c>
      <c r="B14" s="169">
        <f>Insumos!B$6</f>
        <v>335</v>
      </c>
      <c r="C14" s="170">
        <v>1</v>
      </c>
      <c r="D14" s="171">
        <f>$B$6*C14</f>
        <v>532.35473207233611</v>
      </c>
      <c r="E14" s="172">
        <f>D14+B14</f>
        <v>867.35473207233611</v>
      </c>
      <c r="F14" s="173">
        <f t="shared" si="0"/>
        <v>1636.518362400634</v>
      </c>
      <c r="G14" s="173">
        <f>Faturamento!$B6</f>
        <v>900</v>
      </c>
      <c r="H14" s="173">
        <f t="shared" si="1"/>
        <v>-736.51836240063403</v>
      </c>
    </row>
    <row r="15" spans="1:8" ht="28.5" customHeight="1" x14ac:dyDescent="0.35">
      <c r="B15" s="35"/>
      <c r="C15" s="35"/>
      <c r="D15" s="56"/>
      <c r="E15" s="35"/>
      <c r="F15" s="35"/>
      <c r="G15" s="35"/>
      <c r="H15" s="35"/>
    </row>
    <row r="16" spans="1:8" ht="33" customHeight="1" x14ac:dyDescent="0.25">
      <c r="A16" s="53"/>
      <c r="B16" s="34"/>
      <c r="C16" s="54"/>
      <c r="D16" s="55"/>
      <c r="E16" s="42"/>
      <c r="F16" s="42"/>
      <c r="G16" s="42"/>
      <c r="H16" s="36"/>
    </row>
    <row r="17" spans="1:5" ht="28.5" customHeight="1" x14ac:dyDescent="0.35">
      <c r="E17" s="40"/>
    </row>
    <row r="18" spans="1:5" ht="28.5" customHeight="1" x14ac:dyDescent="0.35">
      <c r="A18" s="39"/>
      <c r="B18" s="37"/>
      <c r="E18" s="40"/>
    </row>
    <row r="19" spans="1:5" ht="28.5" customHeight="1" x14ac:dyDescent="0.35">
      <c r="E19" s="40"/>
    </row>
    <row r="20" spans="1:5" ht="28.5" customHeight="1" x14ac:dyDescent="0.35">
      <c r="E20" s="41"/>
    </row>
    <row r="21" spans="1:5" ht="33" customHeight="1" x14ac:dyDescent="0.35">
      <c r="E21" s="41"/>
    </row>
    <row r="22" spans="1:5" ht="28.5" customHeight="1" x14ac:dyDescent="0.25"/>
    <row r="23" spans="1:5" ht="28.5" customHeight="1" x14ac:dyDescent="0.25"/>
    <row r="24" spans="1:5" ht="28.5" customHeight="1" x14ac:dyDescent="0.25"/>
    <row r="25" spans="1:5" ht="28.5" customHeight="1" x14ac:dyDescent="0.25"/>
    <row r="26" spans="1:5" ht="30" customHeight="1" x14ac:dyDescent="0.25"/>
    <row r="27" spans="1:5" ht="30" customHeight="1" x14ac:dyDescent="0.25"/>
    <row r="28" spans="1:5" ht="30" customHeight="1" x14ac:dyDescent="0.25"/>
    <row r="29" spans="1:5" ht="30" customHeight="1" x14ac:dyDescent="0.25"/>
    <row r="30" spans="1:5" ht="30" customHeight="1" x14ac:dyDescent="0.25"/>
    <row r="31" spans="1:5" ht="30" customHeight="1" x14ac:dyDescent="0.25"/>
    <row r="32" spans="1:5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s="30" customFormat="1" ht="30" customHeight="1" x14ac:dyDescent="0.25"/>
    <row r="38" s="30" customFormat="1" ht="30" customHeight="1" x14ac:dyDescent="0.25"/>
    <row r="39" s="30" customFormat="1" ht="30" customHeight="1" x14ac:dyDescent="0.25"/>
    <row r="40" s="30" customFormat="1" ht="30" customHeight="1" x14ac:dyDescent="0.25"/>
    <row r="41" s="30" customFormat="1" ht="30" customHeight="1" x14ac:dyDescent="0.25"/>
    <row r="42" s="30" customFormat="1" ht="30" customHeight="1" x14ac:dyDescent="0.25"/>
    <row r="43" s="30" customFormat="1" ht="30" customHeight="1" x14ac:dyDescent="0.25"/>
    <row r="44" s="30" customFormat="1" ht="30" customHeight="1" x14ac:dyDescent="0.25"/>
    <row r="45" s="30" customFormat="1" ht="30" customHeight="1" x14ac:dyDescent="0.25"/>
    <row r="46" s="30" customFormat="1" ht="30" customHeight="1" x14ac:dyDescent="0.25"/>
    <row r="47" s="30" customFormat="1" ht="30" customHeight="1" x14ac:dyDescent="0.25"/>
    <row r="48" s="30" customFormat="1" ht="30" customHeight="1" x14ac:dyDescent="0.25"/>
    <row r="49" spans="1:8" s="30" customFormat="1" ht="30" customHeight="1" x14ac:dyDescent="0.25"/>
    <row r="50" spans="1:8" s="30" customFormat="1" ht="30" customHeight="1" x14ac:dyDescent="0.25"/>
    <row r="51" spans="1:8" s="32" customFormat="1" ht="32.1" customHeight="1" x14ac:dyDescent="0.25">
      <c r="A51" s="31"/>
      <c r="B51" s="31"/>
      <c r="C51" s="31"/>
      <c r="D51" s="31"/>
      <c r="E51" s="31"/>
      <c r="F51" s="31"/>
      <c r="G51" s="31"/>
      <c r="H51" s="31"/>
    </row>
    <row r="52" spans="1:8" s="32" customFormat="1" ht="30" customHeight="1" x14ac:dyDescent="0.25">
      <c r="A52" s="31"/>
      <c r="B52" s="31"/>
      <c r="C52" s="31"/>
      <c r="D52" s="31"/>
      <c r="E52" s="31"/>
      <c r="F52" s="31"/>
      <c r="G52" s="31"/>
      <c r="H52" s="31"/>
    </row>
    <row r="53" spans="1:8" s="30" customFormat="1" ht="30" customHeight="1" x14ac:dyDescent="0.25"/>
    <row r="54" spans="1:8" s="30" customFormat="1" ht="30" customHeight="1" x14ac:dyDescent="0.25"/>
    <row r="55" spans="1:8" s="30" customFormat="1" ht="30" customHeight="1" x14ac:dyDescent="0.25"/>
    <row r="56" spans="1:8" s="30" customFormat="1" ht="30" customHeight="1" x14ac:dyDescent="0.25"/>
    <row r="57" spans="1:8" s="30" customFormat="1" ht="30" customHeight="1" x14ac:dyDescent="0.25"/>
    <row r="58" spans="1:8" s="30" customFormat="1" ht="30" customHeight="1" x14ac:dyDescent="0.25"/>
    <row r="59" spans="1:8" s="30" customFormat="1" ht="30" customHeight="1" x14ac:dyDescent="0.25"/>
    <row r="60" spans="1:8" s="32" customFormat="1" ht="30" customHeight="1" x14ac:dyDescent="0.25">
      <c r="A60" s="31"/>
      <c r="B60" s="31"/>
      <c r="C60" s="31"/>
      <c r="D60" s="31"/>
      <c r="E60" s="31"/>
      <c r="F60" s="31"/>
      <c r="G60" s="31"/>
      <c r="H60" s="31"/>
    </row>
    <row r="61" spans="1:8" s="32" customFormat="1" ht="30" customHeight="1" x14ac:dyDescent="0.25">
      <c r="A61" s="31"/>
      <c r="B61" s="31"/>
      <c r="C61" s="31"/>
      <c r="D61" s="31"/>
      <c r="E61" s="31"/>
      <c r="F61" s="31"/>
      <c r="G61" s="31"/>
      <c r="H61" s="31"/>
    </row>
    <row r="62" spans="1:8" s="32" customFormat="1" ht="30.95" customHeight="1" x14ac:dyDescent="0.25">
      <c r="A62" s="31"/>
      <c r="B62" s="31"/>
      <c r="C62" s="31"/>
      <c r="D62" s="31"/>
      <c r="E62" s="31"/>
      <c r="F62" s="31"/>
      <c r="G62" s="31"/>
      <c r="H62" s="31"/>
    </row>
    <row r="63" spans="1:8" s="32" customFormat="1" ht="30" customHeight="1" x14ac:dyDescent="0.25">
      <c r="A63" s="31"/>
      <c r="B63" s="31"/>
      <c r="C63" s="31"/>
      <c r="D63" s="31"/>
      <c r="E63" s="31"/>
      <c r="F63" s="31"/>
      <c r="G63" s="31"/>
      <c r="H63" s="31"/>
    </row>
    <row r="64" spans="1:8" ht="81.95" customHeight="1" x14ac:dyDescent="0.25"/>
    <row r="65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99" customHeight="1" x14ac:dyDescent="0.25"/>
    <row r="79" ht="30" customHeight="1" x14ac:dyDescent="0.25"/>
    <row r="81" spans="1:8" s="32" customFormat="1" ht="30" customHeight="1" x14ac:dyDescent="0.25">
      <c r="A81" s="31"/>
      <c r="B81" s="31"/>
      <c r="C81" s="31"/>
      <c r="D81" s="31"/>
      <c r="E81" s="31"/>
      <c r="F81" s="31"/>
      <c r="G81" s="31"/>
      <c r="H81" s="31"/>
    </row>
    <row r="82" spans="1:8" s="32" customFormat="1" ht="30" customHeight="1" x14ac:dyDescent="0.25">
      <c r="A82" s="31"/>
      <c r="B82" s="31"/>
      <c r="C82" s="31"/>
      <c r="D82" s="31"/>
      <c r="E82" s="31"/>
      <c r="F82" s="31"/>
      <c r="G82" s="31"/>
      <c r="H82" s="31"/>
    </row>
    <row r="83" spans="1:8" s="32" customFormat="1" ht="30" customHeight="1" x14ac:dyDescent="0.25">
      <c r="A83" s="31"/>
      <c r="B83" s="31"/>
      <c r="C83" s="31"/>
      <c r="D83" s="31"/>
      <c r="E83" s="31"/>
      <c r="F83" s="31"/>
      <c r="G83" s="31"/>
      <c r="H83" s="31"/>
    </row>
    <row r="84" spans="1:8" s="32" customFormat="1" ht="30" customHeight="1" x14ac:dyDescent="0.25">
      <c r="A84" s="31"/>
      <c r="B84" s="31"/>
      <c r="C84" s="31"/>
      <c r="D84" s="31"/>
      <c r="E84" s="31"/>
      <c r="F84" s="31"/>
      <c r="G84" s="31"/>
      <c r="H84" s="31"/>
    </row>
    <row r="85" spans="1:8" s="32" customFormat="1" ht="30" customHeight="1" x14ac:dyDescent="0.25">
      <c r="A85" s="31"/>
      <c r="B85" s="31"/>
      <c r="C85" s="31"/>
      <c r="D85" s="31"/>
      <c r="E85" s="31"/>
      <c r="F85" s="31"/>
      <c r="G85" s="31"/>
      <c r="H85" s="31"/>
    </row>
    <row r="86" spans="1:8" s="32" customFormat="1" ht="30" customHeight="1" x14ac:dyDescent="0.25">
      <c r="A86" s="31"/>
      <c r="B86" s="31"/>
      <c r="C86" s="31"/>
      <c r="D86" s="31"/>
      <c r="E86" s="31"/>
      <c r="F86" s="31"/>
      <c r="G86" s="31"/>
      <c r="H86" s="31"/>
    </row>
    <row r="87" spans="1:8" s="32" customFormat="1" ht="30" customHeight="1" x14ac:dyDescent="0.25">
      <c r="A87" s="31"/>
      <c r="B87" s="31"/>
      <c r="C87" s="31"/>
      <c r="D87" s="31"/>
      <c r="E87" s="31"/>
      <c r="F87" s="31"/>
      <c r="G87" s="31"/>
      <c r="H87" s="31"/>
    </row>
    <row r="88" spans="1:8" s="32" customFormat="1" ht="30" customHeight="1" x14ac:dyDescent="0.25">
      <c r="A88" s="31"/>
      <c r="B88" s="31"/>
      <c r="C88" s="31"/>
      <c r="D88" s="31"/>
      <c r="E88" s="31"/>
      <c r="F88" s="31"/>
      <c r="G88" s="31"/>
      <c r="H88" s="31"/>
    </row>
    <row r="89" spans="1:8" s="32" customFormat="1" ht="30" customHeight="1" x14ac:dyDescent="0.25">
      <c r="A89" s="31"/>
      <c r="B89" s="31"/>
      <c r="C89" s="31"/>
      <c r="D89" s="31"/>
      <c r="E89" s="31"/>
      <c r="F89" s="31"/>
      <c r="G89" s="31"/>
      <c r="H89" s="31"/>
    </row>
    <row r="90" spans="1:8" s="32" customFormat="1" ht="30" customHeight="1" x14ac:dyDescent="0.25">
      <c r="A90" s="31"/>
      <c r="B90" s="31"/>
      <c r="C90" s="31"/>
      <c r="D90" s="31"/>
      <c r="E90" s="31"/>
      <c r="F90" s="31"/>
      <c r="G90" s="31"/>
      <c r="H90" s="31"/>
    </row>
    <row r="91" spans="1:8" s="32" customFormat="1" ht="30" customHeight="1" x14ac:dyDescent="0.25">
      <c r="A91" s="31"/>
      <c r="B91" s="31"/>
      <c r="C91" s="31"/>
      <c r="D91" s="31"/>
      <c r="E91" s="31"/>
      <c r="F91" s="31"/>
      <c r="G91" s="31"/>
      <c r="H91" s="31"/>
    </row>
    <row r="92" spans="1:8" s="32" customFormat="1" ht="30" customHeight="1" x14ac:dyDescent="0.25">
      <c r="A92" s="31"/>
      <c r="B92" s="31"/>
      <c r="C92" s="31"/>
      <c r="D92" s="31"/>
      <c r="E92" s="31"/>
      <c r="F92" s="31"/>
      <c r="G92" s="31"/>
      <c r="H92" s="31"/>
    </row>
    <row r="93" spans="1:8" s="32" customFormat="1" ht="30" customHeight="1" x14ac:dyDescent="0.25">
      <c r="A93" s="31"/>
      <c r="B93" s="31"/>
      <c r="C93" s="31"/>
      <c r="D93" s="31"/>
      <c r="E93" s="31"/>
      <c r="F93" s="31"/>
      <c r="G93" s="31"/>
      <c r="H93" s="31"/>
    </row>
    <row r="94" spans="1:8" s="32" customFormat="1" ht="30" customHeight="1" x14ac:dyDescent="0.25">
      <c r="A94" s="31"/>
      <c r="B94" s="31"/>
      <c r="C94" s="31"/>
      <c r="D94" s="31"/>
      <c r="E94" s="31"/>
      <c r="F94" s="31"/>
      <c r="G94" s="31"/>
      <c r="H94" s="31"/>
    </row>
    <row r="96" spans="1:8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</sheetData>
  <sheetProtection algorithmName="SHA-512" hashValue="xL0nyZvygMapGoucZRnBf3l27XdvryKmBlAoj1EiOHG9oixfjCGKEd5sKoZdpNLh13RnELFcwykOssX7HgU8eQ==" saltValue="QWKK7D8g8PKYetcNl9KKTg==" spinCount="100000" sheet="1" objects="1" scenarios="1"/>
  <mergeCells count="1">
    <mergeCell ref="A1:H1"/>
  </mergeCells>
  <pageMargins left="0.25" right="0.25" top="0.75000000000000011" bottom="0.75000000000000011" header="0.30000000000000004" footer="0.30000000000000004"/>
  <pageSetup paperSize="9" scale="90" orientation="landscape" horizontalDpi="4294967293" verticalDpi="4294967293" r:id="rId1"/>
  <headerFooter>
    <oddHeader>&amp;L&amp;"Calibri,Regular"&amp;K000000&amp;G&amp;C&amp;"Calibri,Regular"&amp;K000000Planejamento Financeiro&amp;R&amp;"Calibri,Regular"&amp;K000000&amp;G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ED2C-3E19-49AA-B15A-8966C32C13FF}">
  <dimension ref="A1"/>
  <sheetViews>
    <sheetView showGridLines="0" workbookViewId="0">
      <selection activeCell="T20" sqref="T20"/>
    </sheetView>
  </sheetViews>
  <sheetFormatPr defaultRowHeight="15.7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4"/>
  <sheetViews>
    <sheetView topLeftCell="A39" zoomScale="110" zoomScaleNormal="110" zoomScalePageLayoutView="150" workbookViewId="0">
      <selection activeCell="H59" sqref="H59"/>
    </sheetView>
  </sheetViews>
  <sheetFormatPr defaultColWidth="11" defaultRowHeight="15.75" x14ac:dyDescent="0.25"/>
  <cols>
    <col min="1" max="1" width="42.5" bestFit="1" customWidth="1"/>
    <col min="2" max="2" width="9.375" bestFit="1" customWidth="1"/>
    <col min="3" max="3" width="8.125" bestFit="1" customWidth="1"/>
    <col min="4" max="4" width="3" customWidth="1"/>
    <col min="5" max="5" width="6.5" bestFit="1" customWidth="1"/>
    <col min="6" max="6" width="10.375" bestFit="1" customWidth="1"/>
    <col min="7" max="7" width="6.125" bestFit="1" customWidth="1"/>
    <col min="8" max="8" width="14.125" bestFit="1" customWidth="1"/>
    <col min="9" max="9" width="10.375" bestFit="1" customWidth="1"/>
    <col min="10" max="11" width="8.375" bestFit="1" customWidth="1"/>
    <col min="12" max="12" width="10.375" bestFit="1" customWidth="1"/>
    <col min="13" max="13" width="6.125" bestFit="1" customWidth="1"/>
    <col min="14" max="14" width="6.5" bestFit="1" customWidth="1"/>
    <col min="15" max="15" width="10.375" bestFit="1" customWidth="1"/>
    <col min="16" max="16" width="6.125" bestFit="1" customWidth="1"/>
    <col min="17" max="17" width="6.5" bestFit="1" customWidth="1"/>
    <col min="18" max="18" width="10.375" bestFit="1" customWidth="1"/>
    <col min="19" max="19" width="7.125" bestFit="1" customWidth="1"/>
    <col min="20" max="20" width="6.5" bestFit="1" customWidth="1"/>
    <col min="21" max="21" width="10.375" bestFit="1" customWidth="1"/>
    <col min="22" max="22" width="6.125" bestFit="1" customWidth="1"/>
    <col min="23" max="23" width="6.5" bestFit="1" customWidth="1"/>
    <col min="24" max="24" width="10.375" bestFit="1" customWidth="1"/>
    <col min="25" max="25" width="6.125" bestFit="1" customWidth="1"/>
  </cols>
  <sheetData>
    <row r="1" spans="1:25" s="1" customFormat="1" x14ac:dyDescent="0.25">
      <c r="A1" s="1" t="s">
        <v>14</v>
      </c>
      <c r="B1" s="3" t="s">
        <v>29</v>
      </c>
      <c r="C1" s="3" t="s">
        <v>0</v>
      </c>
      <c r="D1" s="3"/>
      <c r="E1" s="3" t="s">
        <v>15</v>
      </c>
      <c r="F1" s="3"/>
      <c r="G1" s="3"/>
      <c r="H1" s="3" t="s">
        <v>16</v>
      </c>
      <c r="I1" s="3"/>
      <c r="J1" s="3"/>
      <c r="K1" s="3" t="s">
        <v>17</v>
      </c>
      <c r="L1" s="3"/>
      <c r="M1" s="3"/>
      <c r="N1" s="3" t="s">
        <v>18</v>
      </c>
      <c r="O1" s="3"/>
      <c r="P1" s="3"/>
      <c r="Q1" s="3" t="s">
        <v>19</v>
      </c>
      <c r="R1" s="3"/>
      <c r="S1" s="3"/>
      <c r="T1" s="3" t="s">
        <v>20</v>
      </c>
      <c r="U1" s="3"/>
      <c r="V1" s="3"/>
      <c r="W1" s="3" t="s">
        <v>21</v>
      </c>
      <c r="X1" s="3"/>
    </row>
    <row r="2" spans="1:25" s="1" customFormat="1" x14ac:dyDescent="0.25">
      <c r="C2" s="3"/>
      <c r="D2" s="3"/>
      <c r="E2" s="3" t="s">
        <v>22</v>
      </c>
      <c r="F2" s="3" t="s">
        <v>23</v>
      </c>
      <c r="G2" s="3" t="s">
        <v>0</v>
      </c>
      <c r="H2" s="3" t="s">
        <v>22</v>
      </c>
      <c r="I2" s="3" t="s">
        <v>23</v>
      </c>
      <c r="J2" s="3" t="s">
        <v>0</v>
      </c>
      <c r="K2" s="3" t="s">
        <v>22</v>
      </c>
      <c r="L2" s="3" t="s">
        <v>23</v>
      </c>
      <c r="M2" s="3" t="s">
        <v>0</v>
      </c>
      <c r="N2" s="3" t="s">
        <v>22</v>
      </c>
      <c r="O2" s="3" t="s">
        <v>23</v>
      </c>
      <c r="P2" s="3" t="s">
        <v>0</v>
      </c>
      <c r="Q2" s="3" t="s">
        <v>22</v>
      </c>
      <c r="R2" s="3" t="s">
        <v>23</v>
      </c>
      <c r="S2" s="3" t="s">
        <v>0</v>
      </c>
      <c r="T2" s="3" t="s">
        <v>22</v>
      </c>
      <c r="U2" s="3" t="s">
        <v>23</v>
      </c>
      <c r="V2" s="3" t="s">
        <v>0</v>
      </c>
      <c r="W2" s="3" t="s">
        <v>22</v>
      </c>
      <c r="X2" s="3" t="s">
        <v>23</v>
      </c>
      <c r="Y2" s="3" t="s">
        <v>0</v>
      </c>
    </row>
    <row r="3" spans="1:25" x14ac:dyDescent="0.25">
      <c r="A3" t="s">
        <v>121</v>
      </c>
      <c r="B3">
        <v>80</v>
      </c>
      <c r="C3">
        <v>1</v>
      </c>
      <c r="E3">
        <v>210</v>
      </c>
      <c r="F3" s="4">
        <f>E3*$B3</f>
        <v>16800</v>
      </c>
      <c r="G3" s="4">
        <f>E3*$C3</f>
        <v>210</v>
      </c>
      <c r="H3">
        <v>198</v>
      </c>
      <c r="I3" s="4">
        <f>H3*$B3</f>
        <v>15840</v>
      </c>
      <c r="J3" s="4">
        <f>H3*$C3</f>
        <v>198</v>
      </c>
      <c r="K3">
        <v>201</v>
      </c>
      <c r="L3" s="4">
        <f>K3*$B3</f>
        <v>16080</v>
      </c>
      <c r="M3" s="4">
        <f>K3*$C3</f>
        <v>201</v>
      </c>
      <c r="N3">
        <v>178</v>
      </c>
      <c r="O3" s="4">
        <f>N3*$B3</f>
        <v>14240</v>
      </c>
      <c r="P3" s="4">
        <f>N3*$C3</f>
        <v>178</v>
      </c>
      <c r="Q3">
        <v>195</v>
      </c>
      <c r="R3" s="4">
        <f>Q3*$B3</f>
        <v>15600</v>
      </c>
      <c r="S3" s="4">
        <f>Q3*$C3</f>
        <v>195</v>
      </c>
      <c r="T3">
        <v>205</v>
      </c>
      <c r="U3" s="4">
        <f>T3*$B3</f>
        <v>16400</v>
      </c>
      <c r="V3" s="4">
        <f>T3*$C3</f>
        <v>205</v>
      </c>
      <c r="W3">
        <v>211</v>
      </c>
      <c r="X3" s="4">
        <f>W3*$B3</f>
        <v>16880</v>
      </c>
      <c r="Y3" s="4">
        <f>W3*$C3</f>
        <v>211</v>
      </c>
    </row>
    <row r="4" spans="1:25" x14ac:dyDescent="0.25">
      <c r="A4" t="s">
        <v>122</v>
      </c>
      <c r="B4">
        <v>240</v>
      </c>
      <c r="C4">
        <v>2</v>
      </c>
      <c r="E4">
        <f>ROUNDUP(E3*11%,0)</f>
        <v>24</v>
      </c>
      <c r="F4" s="4">
        <f t="shared" ref="F4:I6" si="0">E4*$B4</f>
        <v>5760</v>
      </c>
      <c r="G4" s="4">
        <f t="shared" ref="G4:G6" si="1">E4*$C4</f>
        <v>48</v>
      </c>
      <c r="H4">
        <f>ROUNDUP(H3*11%,0)</f>
        <v>22</v>
      </c>
      <c r="I4" s="4">
        <f t="shared" si="0"/>
        <v>5280</v>
      </c>
      <c r="J4" s="4">
        <f t="shared" ref="J4:J6" si="2">H4*$C4</f>
        <v>44</v>
      </c>
      <c r="K4">
        <f>ROUNDUP(K3*11%,0)</f>
        <v>23</v>
      </c>
      <c r="L4" s="4">
        <f t="shared" ref="L4" si="3">K4*$B4</f>
        <v>5520</v>
      </c>
      <c r="M4" s="4">
        <f t="shared" ref="M4:M6" si="4">K4*$C4</f>
        <v>46</v>
      </c>
      <c r="N4">
        <f>ROUNDUP(N3*11%,0)</f>
        <v>20</v>
      </c>
      <c r="O4" s="4">
        <f t="shared" ref="O4" si="5">N4*$B4</f>
        <v>4800</v>
      </c>
      <c r="P4" s="4">
        <f t="shared" ref="P4:P6" si="6">N4*$C4</f>
        <v>40</v>
      </c>
      <c r="Q4">
        <f>ROUNDUP(Q3*11%,0)</f>
        <v>22</v>
      </c>
      <c r="R4" s="4">
        <f t="shared" ref="R4" si="7">Q4*$B4</f>
        <v>5280</v>
      </c>
      <c r="S4" s="4">
        <f t="shared" ref="S4:S6" si="8">Q4*$C4</f>
        <v>44</v>
      </c>
      <c r="T4">
        <f>ROUNDUP(T3*11%,0)</f>
        <v>23</v>
      </c>
      <c r="U4" s="4">
        <f t="shared" ref="U4" si="9">T4*$B4</f>
        <v>5520</v>
      </c>
      <c r="V4" s="4">
        <f t="shared" ref="V4:V6" si="10">T4*$C4</f>
        <v>46</v>
      </c>
      <c r="W4">
        <f>ROUNDUP(W3*11%,0)</f>
        <v>24</v>
      </c>
      <c r="X4" s="4">
        <f t="shared" ref="X4" si="11">W4*$B4</f>
        <v>5760</v>
      </c>
      <c r="Y4" s="4">
        <f t="shared" ref="Y4:Y6" si="12">W4*$C4</f>
        <v>48</v>
      </c>
    </row>
    <row r="5" spans="1:25" x14ac:dyDescent="0.25">
      <c r="A5" t="s">
        <v>123</v>
      </c>
      <c r="B5">
        <v>160</v>
      </c>
      <c r="C5">
        <v>1</v>
      </c>
      <c r="E5">
        <f>ROUNDUP(E3*33%,0)</f>
        <v>70</v>
      </c>
      <c r="F5" s="4">
        <f t="shared" si="0"/>
        <v>11200</v>
      </c>
      <c r="G5" s="4">
        <f t="shared" si="1"/>
        <v>70</v>
      </c>
      <c r="H5">
        <f>ROUNDUP(H3*33%,0)</f>
        <v>66</v>
      </c>
      <c r="I5" s="4">
        <f t="shared" si="0"/>
        <v>10560</v>
      </c>
      <c r="J5" s="4">
        <f t="shared" si="2"/>
        <v>66</v>
      </c>
      <c r="K5">
        <f>ROUNDUP(K3*33%,0)</f>
        <v>67</v>
      </c>
      <c r="L5" s="4">
        <f t="shared" ref="L5" si="13">K5*$B5</f>
        <v>10720</v>
      </c>
      <c r="M5" s="4">
        <f t="shared" si="4"/>
        <v>67</v>
      </c>
      <c r="N5">
        <f>ROUNDUP(N3*33%,0)</f>
        <v>59</v>
      </c>
      <c r="O5" s="4">
        <f t="shared" ref="O5" si="14">N5*$B5</f>
        <v>9440</v>
      </c>
      <c r="P5" s="4">
        <f t="shared" si="6"/>
        <v>59</v>
      </c>
      <c r="Q5">
        <f>ROUNDUP(Q3*33%,0)</f>
        <v>65</v>
      </c>
      <c r="R5" s="4">
        <f t="shared" ref="R5" si="15">Q5*$B5</f>
        <v>10400</v>
      </c>
      <c r="S5" s="4">
        <f t="shared" si="8"/>
        <v>65</v>
      </c>
      <c r="T5">
        <f>ROUNDUP(T3*33%,0)</f>
        <v>68</v>
      </c>
      <c r="U5" s="4">
        <f t="shared" ref="U5" si="16">T5*$B5</f>
        <v>10880</v>
      </c>
      <c r="V5" s="4">
        <f t="shared" si="10"/>
        <v>68</v>
      </c>
      <c r="W5">
        <f>ROUNDUP(W3*33%,0)</f>
        <v>70</v>
      </c>
      <c r="X5" s="4">
        <f t="shared" ref="X5" si="17">W5*$B5</f>
        <v>11200</v>
      </c>
      <c r="Y5" s="4">
        <f t="shared" si="12"/>
        <v>70</v>
      </c>
    </row>
    <row r="6" spans="1:25" x14ac:dyDescent="0.25">
      <c r="A6" t="s">
        <v>124</v>
      </c>
      <c r="B6">
        <v>900</v>
      </c>
      <c r="C6">
        <v>2</v>
      </c>
      <c r="E6">
        <f>ROUNDUP(E5*11%,0)</f>
        <v>8</v>
      </c>
      <c r="F6" s="4">
        <f t="shared" si="0"/>
        <v>7200</v>
      </c>
      <c r="G6" s="4">
        <f t="shared" si="1"/>
        <v>16</v>
      </c>
      <c r="H6">
        <f>ROUNDUP(H5*11%,0)</f>
        <v>8</v>
      </c>
      <c r="I6" s="4">
        <f t="shared" si="0"/>
        <v>7200</v>
      </c>
      <c r="J6" s="4">
        <f t="shared" si="2"/>
        <v>16</v>
      </c>
      <c r="K6">
        <f>ROUNDUP(K5*11%,0)</f>
        <v>8</v>
      </c>
      <c r="L6" s="4">
        <f t="shared" ref="L6" si="18">K6*$B6</f>
        <v>7200</v>
      </c>
      <c r="M6" s="4">
        <f t="shared" si="4"/>
        <v>16</v>
      </c>
      <c r="N6">
        <f>ROUNDUP(N5*11%,0)</f>
        <v>7</v>
      </c>
      <c r="O6" s="4">
        <f t="shared" ref="O6" si="19">N6*$B6</f>
        <v>6300</v>
      </c>
      <c r="P6" s="4">
        <f t="shared" si="6"/>
        <v>14</v>
      </c>
      <c r="Q6">
        <f>ROUNDUP(Q5*11%,0)</f>
        <v>8</v>
      </c>
      <c r="R6" s="4">
        <f t="shared" ref="R6" si="20">Q6*$B6</f>
        <v>7200</v>
      </c>
      <c r="S6" s="4">
        <f t="shared" si="8"/>
        <v>16</v>
      </c>
      <c r="T6">
        <f>ROUNDUP(T5*11%,0)</f>
        <v>8</v>
      </c>
      <c r="U6" s="4">
        <f t="shared" ref="U6" si="21">T6*$B6</f>
        <v>7200</v>
      </c>
      <c r="V6" s="4">
        <f t="shared" si="10"/>
        <v>16</v>
      </c>
      <c r="W6">
        <f>ROUNDUP(W5*11%,0)</f>
        <v>8</v>
      </c>
      <c r="X6" s="4">
        <f t="shared" ref="X6" si="22">W6*$B6</f>
        <v>7200</v>
      </c>
      <c r="Y6" s="4">
        <f t="shared" si="12"/>
        <v>16</v>
      </c>
    </row>
    <row r="7" spans="1:25" x14ac:dyDescent="0.25"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1" customFormat="1" x14ac:dyDescent="0.25">
      <c r="A8" s="1" t="s">
        <v>55</v>
      </c>
      <c r="E8" s="5"/>
      <c r="F8" s="5">
        <f>SUM(F3:F6)</f>
        <v>40960</v>
      </c>
      <c r="G8" s="5">
        <f>SUM(G3:G6)</f>
        <v>344</v>
      </c>
      <c r="H8" s="5"/>
      <c r="I8" s="5">
        <f>SUM(I3:I6)</f>
        <v>38880</v>
      </c>
      <c r="J8" s="5">
        <f>SUM(J3:J6)</f>
        <v>324</v>
      </c>
      <c r="K8" s="5"/>
      <c r="L8" s="5">
        <f>SUM(L3:L6)</f>
        <v>39520</v>
      </c>
      <c r="M8" s="5">
        <f>SUM(M3:M6)</f>
        <v>330</v>
      </c>
      <c r="N8" s="5"/>
      <c r="O8" s="5">
        <f>SUM(O3:O6)</f>
        <v>34780</v>
      </c>
      <c r="P8" s="5">
        <f>SUM(P3:P6)</f>
        <v>291</v>
      </c>
      <c r="Q8" s="5"/>
      <c r="R8" s="5">
        <f>SUM(R3:R6)</f>
        <v>38480</v>
      </c>
      <c r="S8" s="5">
        <f>SUM(S3:S6)</f>
        <v>320</v>
      </c>
      <c r="T8" s="5"/>
      <c r="U8" s="5">
        <f>SUM(U3:U6)</f>
        <v>40000</v>
      </c>
      <c r="V8" s="5">
        <f>SUM(V3:V6)</f>
        <v>335</v>
      </c>
      <c r="W8" s="5"/>
      <c r="X8" s="5">
        <f>SUM(X3:X6)</f>
        <v>41040</v>
      </c>
      <c r="Y8" s="5">
        <f>SUM(Y3:Y6)</f>
        <v>345</v>
      </c>
    </row>
    <row r="9" spans="1:25" s="1" customFormat="1" x14ac:dyDescent="0.25">
      <c r="A9" s="1" t="s">
        <v>24</v>
      </c>
      <c r="B9" s="11">
        <f>AVERAGE(G9:Y9)</f>
        <v>2.0437500000000002</v>
      </c>
      <c r="G9" s="7">
        <f>G8/$B$11</f>
        <v>2.15</v>
      </c>
      <c r="J9" s="7">
        <f t="shared" ref="J9" si="23">J8/$B$11</f>
        <v>2.0249999999999999</v>
      </c>
      <c r="M9" s="7">
        <f t="shared" ref="M9" si="24">M8/$B$11</f>
        <v>2.0625</v>
      </c>
      <c r="P9" s="7">
        <f t="shared" ref="P9" si="25">P8/$B$11</f>
        <v>1.8187500000000001</v>
      </c>
      <c r="S9" s="7">
        <f t="shared" ref="S9" si="26">S8/$B$11</f>
        <v>2</v>
      </c>
      <c r="V9" s="7">
        <f t="shared" ref="V9" si="27">V8/$B$11</f>
        <v>2.09375</v>
      </c>
      <c r="Y9" s="7">
        <f t="shared" ref="Y9" si="28">Y8/$B$11</f>
        <v>2.15625</v>
      </c>
    </row>
    <row r="11" spans="1:25" x14ac:dyDescent="0.25">
      <c r="A11" t="s">
        <v>1</v>
      </c>
      <c r="B11">
        <v>160</v>
      </c>
    </row>
    <row r="13" spans="1:25" x14ac:dyDescent="0.25">
      <c r="A13" s="1" t="s">
        <v>33</v>
      </c>
      <c r="B13" s="1" t="s">
        <v>38</v>
      </c>
    </row>
    <row r="14" spans="1:25" x14ac:dyDescent="0.25">
      <c r="A14" t="s">
        <v>34</v>
      </c>
      <c r="B14" s="9">
        <v>6.4999999999999997E-3</v>
      </c>
      <c r="F14" s="10">
        <f>F$8*$B14</f>
        <v>266.24</v>
      </c>
      <c r="I14" s="10">
        <f>I$8*$B14</f>
        <v>252.72</v>
      </c>
      <c r="L14" s="10">
        <f>L$8*$B14</f>
        <v>256.88</v>
      </c>
      <c r="O14" s="10">
        <f>O$8*$B14</f>
        <v>226.07</v>
      </c>
      <c r="R14" s="10">
        <f>R$8*$B14</f>
        <v>250.11999999999998</v>
      </c>
      <c r="U14" s="10">
        <f>U$8*$B14</f>
        <v>260</v>
      </c>
      <c r="X14" s="10">
        <f>X$8*$B14</f>
        <v>266.76</v>
      </c>
    </row>
    <row r="15" spans="1:25" x14ac:dyDescent="0.25">
      <c r="A15" t="s">
        <v>35</v>
      </c>
      <c r="B15" s="9">
        <v>0.03</v>
      </c>
      <c r="F15" s="10">
        <f t="shared" ref="F15:F18" si="29">F$8*$B15</f>
        <v>1228.8</v>
      </c>
      <c r="I15" s="10">
        <f t="shared" ref="I15:X18" si="30">I$8*$B15</f>
        <v>1166.3999999999999</v>
      </c>
      <c r="L15" s="10">
        <f t="shared" ref="L15:L17" si="31">L$8*$B15</f>
        <v>1185.5999999999999</v>
      </c>
      <c r="O15" s="10">
        <f t="shared" ref="O15:O17" si="32">O$8*$B15</f>
        <v>1043.3999999999999</v>
      </c>
      <c r="R15" s="10">
        <f t="shared" ref="R15:R17" si="33">R$8*$B15</f>
        <v>1154.3999999999999</v>
      </c>
      <c r="U15" s="10">
        <f t="shared" ref="U15:U17" si="34">U$8*$B15</f>
        <v>1200</v>
      </c>
      <c r="X15" s="10">
        <f t="shared" ref="X15:X17" si="35">X$8*$B15</f>
        <v>1231.2</v>
      </c>
    </row>
    <row r="16" spans="1:25" x14ac:dyDescent="0.25">
      <c r="A16" t="s">
        <v>36</v>
      </c>
      <c r="B16" s="9">
        <v>2.8799999999999999E-2</v>
      </c>
      <c r="F16" s="10">
        <f t="shared" si="29"/>
        <v>1179.6479999999999</v>
      </c>
      <c r="I16" s="10">
        <f t="shared" si="30"/>
        <v>1119.7439999999999</v>
      </c>
      <c r="L16" s="10">
        <f t="shared" si="31"/>
        <v>1138.1759999999999</v>
      </c>
      <c r="O16" s="10">
        <f t="shared" si="32"/>
        <v>1001.664</v>
      </c>
      <c r="R16" s="10">
        <f t="shared" si="33"/>
        <v>1108.2239999999999</v>
      </c>
      <c r="U16" s="10">
        <f t="shared" si="34"/>
        <v>1152</v>
      </c>
      <c r="X16" s="10">
        <f t="shared" si="35"/>
        <v>1181.952</v>
      </c>
    </row>
    <row r="17" spans="1:24" x14ac:dyDescent="0.25">
      <c r="A17" t="s">
        <v>37</v>
      </c>
      <c r="B17" s="9">
        <f>15%*32%</f>
        <v>4.8000000000000001E-2</v>
      </c>
      <c r="F17" s="10">
        <f t="shared" si="29"/>
        <v>1966.08</v>
      </c>
      <c r="I17" s="10">
        <f t="shared" si="30"/>
        <v>1866.24</v>
      </c>
      <c r="L17" s="10">
        <f t="shared" si="31"/>
        <v>1896.96</v>
      </c>
      <c r="O17" s="10">
        <f t="shared" si="32"/>
        <v>1669.44</v>
      </c>
      <c r="R17" s="10">
        <f t="shared" si="33"/>
        <v>1847.04</v>
      </c>
      <c r="U17" s="10">
        <f t="shared" si="34"/>
        <v>1920</v>
      </c>
      <c r="X17" s="10">
        <f t="shared" si="35"/>
        <v>1969.92</v>
      </c>
    </row>
    <row r="18" spans="1:24" x14ac:dyDescent="0.25">
      <c r="A18" t="s">
        <v>56</v>
      </c>
      <c r="B18" s="9">
        <v>0.03</v>
      </c>
      <c r="F18" s="10">
        <f t="shared" si="29"/>
        <v>1228.8</v>
      </c>
      <c r="I18" s="10">
        <f t="shared" si="30"/>
        <v>1166.3999999999999</v>
      </c>
      <c r="L18" s="10">
        <f t="shared" si="30"/>
        <v>1185.5999999999999</v>
      </c>
      <c r="O18" s="10">
        <f t="shared" si="30"/>
        <v>1043.3999999999999</v>
      </c>
      <c r="R18" s="10">
        <f t="shared" si="30"/>
        <v>1154.3999999999999</v>
      </c>
      <c r="U18" s="10">
        <f t="shared" si="30"/>
        <v>1200</v>
      </c>
      <c r="X18" s="10">
        <f t="shared" si="30"/>
        <v>1231.2</v>
      </c>
    </row>
    <row r="19" spans="1:24" x14ac:dyDescent="0.25">
      <c r="B19" s="8"/>
    </row>
    <row r="20" spans="1:24" s="1" customFormat="1" x14ac:dyDescent="0.25">
      <c r="A20" s="1" t="s">
        <v>55</v>
      </c>
      <c r="B20" s="11"/>
      <c r="F20" s="12">
        <f>SUM(F14:F18)</f>
        <v>5869.5680000000002</v>
      </c>
      <c r="I20" s="12">
        <f t="shared" ref="I20" si="36">SUM(I14:I18)</f>
        <v>5571.503999999999</v>
      </c>
      <c r="L20" s="12">
        <f t="shared" ref="L20" si="37">SUM(L14:L18)</f>
        <v>5663.2160000000003</v>
      </c>
      <c r="O20" s="12">
        <f t="shared" ref="O20" si="38">SUM(O14:O18)</f>
        <v>4983.9740000000002</v>
      </c>
      <c r="R20" s="12">
        <f t="shared" ref="R20" si="39">SUM(R14:R18)</f>
        <v>5514.1839999999993</v>
      </c>
      <c r="U20" s="12">
        <f t="shared" ref="U20" si="40">SUM(U14:U18)</f>
        <v>5732</v>
      </c>
      <c r="X20" s="12">
        <f t="shared" ref="X20" si="41">SUM(X14:X18)</f>
        <v>5881.0320000000002</v>
      </c>
    </row>
    <row r="21" spans="1:24" x14ac:dyDescent="0.25">
      <c r="B21" s="2"/>
    </row>
    <row r="22" spans="1:24" x14ac:dyDescent="0.25">
      <c r="A22" s="1" t="s">
        <v>39</v>
      </c>
      <c r="B22" s="2"/>
    </row>
    <row r="23" spans="1:24" x14ac:dyDescent="0.25">
      <c r="B23" s="2"/>
    </row>
    <row r="24" spans="1:24" x14ac:dyDescent="0.25">
      <c r="A24" s="1" t="s">
        <v>25</v>
      </c>
      <c r="B24" s="2"/>
    </row>
    <row r="25" spans="1:24" x14ac:dyDescent="0.25">
      <c r="A25" t="str">
        <f>A3</f>
        <v>Consultas de Convênio</v>
      </c>
      <c r="B25" s="4">
        <v>50</v>
      </c>
      <c r="F25" s="4">
        <f>$B25*E3</f>
        <v>10500</v>
      </c>
      <c r="I25" s="4">
        <f>$B25*H3</f>
        <v>9900</v>
      </c>
      <c r="L25" s="4">
        <f>$B25*K3</f>
        <v>10050</v>
      </c>
      <c r="O25" s="4">
        <f>$B25*N3</f>
        <v>8900</v>
      </c>
      <c r="R25" s="4">
        <f>$B25*Q3</f>
        <v>9750</v>
      </c>
      <c r="U25" s="4">
        <f>$B25*T3</f>
        <v>10250</v>
      </c>
      <c r="X25" s="4">
        <f>$B25*W3</f>
        <v>10550</v>
      </c>
    </row>
    <row r="26" spans="1:24" x14ac:dyDescent="0.25">
      <c r="A26" t="str">
        <f t="shared" ref="A26:A28" si="42">A4</f>
        <v>Consultas Particulares</v>
      </c>
      <c r="B26" s="4">
        <v>120</v>
      </c>
      <c r="F26" s="4">
        <f>$B26*E4</f>
        <v>2880</v>
      </c>
      <c r="I26" s="4">
        <f>$B26*H4</f>
        <v>2640</v>
      </c>
      <c r="L26" s="4">
        <f>$B26*K4</f>
        <v>2760</v>
      </c>
      <c r="O26" s="4">
        <f>$B26*N4</f>
        <v>2400</v>
      </c>
      <c r="R26" s="4">
        <f>$B26*Q4</f>
        <v>2640</v>
      </c>
      <c r="U26" s="4">
        <f>$B26*T4</f>
        <v>2760</v>
      </c>
      <c r="X26" s="4">
        <f>$B26*W4</f>
        <v>2880</v>
      </c>
    </row>
    <row r="27" spans="1:24" x14ac:dyDescent="0.25">
      <c r="A27" t="str">
        <f t="shared" si="42"/>
        <v>Procedimento BC/CD</v>
      </c>
      <c r="B27" s="4">
        <v>350</v>
      </c>
      <c r="F27" s="4">
        <f>$B27*E5</f>
        <v>24500</v>
      </c>
      <c r="I27" s="4">
        <f>$B27*H5</f>
        <v>23100</v>
      </c>
      <c r="L27" s="4">
        <f>$B27*K5</f>
        <v>23450</v>
      </c>
      <c r="O27" s="4">
        <f>$B27*N5</f>
        <v>20650</v>
      </c>
      <c r="R27" s="4">
        <f>$B27*Q5</f>
        <v>22750</v>
      </c>
      <c r="U27" s="4">
        <f>$B27*T5</f>
        <v>23800</v>
      </c>
      <c r="X27" s="4">
        <f>$B27*W5</f>
        <v>24500</v>
      </c>
    </row>
    <row r="28" spans="1:24" x14ac:dyDescent="0.25">
      <c r="A28" t="str">
        <f t="shared" si="42"/>
        <v>Procedimento AC/LD</v>
      </c>
      <c r="B28" s="4">
        <v>700</v>
      </c>
      <c r="F28" s="4">
        <f>$B28*E6</f>
        <v>5600</v>
      </c>
      <c r="I28" s="4">
        <f>$B28*H6</f>
        <v>5600</v>
      </c>
      <c r="L28" s="4">
        <f>$B28*K6</f>
        <v>5600</v>
      </c>
      <c r="O28" s="4">
        <f>$B28*N6</f>
        <v>4900</v>
      </c>
      <c r="R28" s="4">
        <f>$B28*Q6</f>
        <v>5600</v>
      </c>
      <c r="U28" s="4">
        <f>$B28*T6</f>
        <v>5600</v>
      </c>
      <c r="X28" s="4">
        <f>$B28*W6</f>
        <v>5600</v>
      </c>
    </row>
    <row r="29" spans="1:24" x14ac:dyDescent="0.25">
      <c r="B29" s="4"/>
    </row>
    <row r="30" spans="1:24" s="1" customFormat="1" x14ac:dyDescent="0.25">
      <c r="A30" s="1" t="s">
        <v>55</v>
      </c>
      <c r="B30" s="5"/>
      <c r="F30" s="5">
        <f>SUM(F25:F28)</f>
        <v>43480</v>
      </c>
      <c r="I30" s="5">
        <f>SUM(I25:I28)</f>
        <v>41240</v>
      </c>
      <c r="L30" s="5">
        <f>SUM(L25:L28)</f>
        <v>41860</v>
      </c>
      <c r="O30" s="5">
        <f>SUM(O25:O28)</f>
        <v>36850</v>
      </c>
      <c r="R30" s="5">
        <f>SUM(R25:R28)</f>
        <v>40740</v>
      </c>
      <c r="U30" s="5">
        <f>SUM(U25:U28)</f>
        <v>42410</v>
      </c>
      <c r="X30" s="5">
        <f>SUM(X25:X28)</f>
        <v>43530</v>
      </c>
    </row>
    <row r="31" spans="1:24" s="1" customFormat="1" x14ac:dyDescent="0.25">
      <c r="B31" s="5"/>
      <c r="F31" s="5"/>
      <c r="I31" s="5"/>
      <c r="L31" s="5"/>
      <c r="O31" s="5"/>
      <c r="R31" s="5"/>
      <c r="U31" s="5"/>
      <c r="X31" s="5"/>
    </row>
    <row r="32" spans="1:24" s="1" customFormat="1" x14ac:dyDescent="0.25">
      <c r="B32" s="5"/>
      <c r="F32" s="5"/>
      <c r="I32" s="5"/>
      <c r="L32" s="5"/>
      <c r="O32" s="5"/>
      <c r="R32" s="5"/>
      <c r="U32" s="5"/>
      <c r="X32" s="5"/>
    </row>
    <row r="33" spans="1:24" s="1" customFormat="1" x14ac:dyDescent="0.25">
      <c r="B33" s="5"/>
      <c r="F33" s="5"/>
      <c r="I33" s="5"/>
      <c r="L33" s="5"/>
      <c r="O33" s="5"/>
      <c r="R33" s="5"/>
      <c r="U33" s="5"/>
      <c r="X33" s="5"/>
    </row>
    <row r="34" spans="1:24" s="1" customFormat="1" x14ac:dyDescent="0.25">
      <c r="A34" s="1" t="s">
        <v>27</v>
      </c>
      <c r="B34" s="5"/>
      <c r="F34" s="5">
        <f>F8-F20-F30</f>
        <v>-8389.5679999999993</v>
      </c>
      <c r="I34" s="5">
        <f t="shared" ref="I34" si="43">I8-I20-I30</f>
        <v>-7931.5040000000008</v>
      </c>
      <c r="L34" s="5">
        <f t="shared" ref="L34" si="44">L8-L20-L30</f>
        <v>-8003.2160000000003</v>
      </c>
      <c r="O34" s="5">
        <f t="shared" ref="O34" si="45">O8-O20-O30</f>
        <v>-7053.974000000002</v>
      </c>
      <c r="R34" s="5">
        <f t="shared" ref="R34" si="46">R8-R20-R30</f>
        <v>-7774.1840000000011</v>
      </c>
      <c r="U34" s="5">
        <f t="shared" ref="U34" si="47">U8-U20-U30</f>
        <v>-8142</v>
      </c>
      <c r="X34" s="5">
        <f t="shared" ref="X34" si="48">X8-X20-X30</f>
        <v>-8371.0319999999992</v>
      </c>
    </row>
    <row r="36" spans="1:24" x14ac:dyDescent="0.25">
      <c r="A36" s="1" t="s">
        <v>11</v>
      </c>
      <c r="B36" s="1" t="s">
        <v>29</v>
      </c>
      <c r="C36" s="1" t="s">
        <v>32</v>
      </c>
    </row>
    <row r="37" spans="1:24" x14ac:dyDescent="0.25">
      <c r="A37" s="6"/>
      <c r="B37" s="1"/>
      <c r="C37" s="1"/>
    </row>
    <row r="38" spans="1:24" x14ac:dyDescent="0.25">
      <c r="A38" s="6" t="s">
        <v>30</v>
      </c>
      <c r="B38" s="10">
        <v>1200</v>
      </c>
    </row>
    <row r="39" spans="1:24" x14ac:dyDescent="0.25">
      <c r="A39" s="6" t="s">
        <v>88</v>
      </c>
      <c r="B39" s="10"/>
      <c r="C39" s="8">
        <v>0.2</v>
      </c>
    </row>
    <row r="40" spans="1:24" x14ac:dyDescent="0.25">
      <c r="A40" s="6" t="s">
        <v>50</v>
      </c>
      <c r="B40" s="10">
        <f>C40*$B$38</f>
        <v>233.33333333333331</v>
      </c>
      <c r="C40" s="23">
        <f>2/12+((1/12)/3)</f>
        <v>0.19444444444444442</v>
      </c>
    </row>
    <row r="41" spans="1:24" ht="16.5" thickBot="1" x14ac:dyDescent="0.3">
      <c r="A41" s="6" t="s">
        <v>52</v>
      </c>
      <c r="B41" s="10">
        <f t="shared" ref="B41:B42" si="49">C41*$B$38</f>
        <v>480</v>
      </c>
      <c r="C41" s="24">
        <v>0.4</v>
      </c>
    </row>
    <row r="42" spans="1:24" x14ac:dyDescent="0.25">
      <c r="A42" s="6" t="s">
        <v>51</v>
      </c>
      <c r="B42" s="10">
        <f t="shared" si="49"/>
        <v>93.333333333333329</v>
      </c>
      <c r="C42" s="9">
        <f>C40*C41</f>
        <v>7.7777777777777779E-2</v>
      </c>
      <c r="H42" s="13" t="s">
        <v>41</v>
      </c>
      <c r="I42" s="14">
        <f>SUM(I43:I45)</f>
        <v>0.19444444444444442</v>
      </c>
    </row>
    <row r="43" spans="1:24" x14ac:dyDescent="0.25">
      <c r="A43" s="6"/>
      <c r="B43" s="10"/>
      <c r="C43" s="8"/>
      <c r="H43" s="15" t="s">
        <v>42</v>
      </c>
      <c r="I43" s="16">
        <f>1/12</f>
        <v>8.3333333333333329E-2</v>
      </c>
    </row>
    <row r="44" spans="1:24" x14ac:dyDescent="0.25">
      <c r="A44" s="6" t="s">
        <v>31</v>
      </c>
      <c r="B44" s="10">
        <v>900</v>
      </c>
      <c r="C44" s="8"/>
      <c r="H44" s="15" t="s">
        <v>43</v>
      </c>
      <c r="I44" s="16">
        <f>1/12</f>
        <v>8.3333333333333329E-2</v>
      </c>
    </row>
    <row r="45" spans="1:24" x14ac:dyDescent="0.25">
      <c r="A45" s="6" t="s">
        <v>50</v>
      </c>
      <c r="B45" s="10">
        <f>C45*$B$44</f>
        <v>174.99999999999997</v>
      </c>
      <c r="C45" s="23">
        <f>2/12+((1/12)/3)</f>
        <v>0.19444444444444442</v>
      </c>
      <c r="H45" s="15" t="s">
        <v>44</v>
      </c>
      <c r="I45" s="16">
        <f>I44/3</f>
        <v>2.7777777777777776E-2</v>
      </c>
    </row>
    <row r="46" spans="1:24" x14ac:dyDescent="0.25">
      <c r="A46" s="6" t="s">
        <v>52</v>
      </c>
      <c r="B46" s="10">
        <f t="shared" ref="B46:B47" si="50">C46*$B$44</f>
        <v>360</v>
      </c>
      <c r="C46" s="24">
        <v>0.4</v>
      </c>
      <c r="H46" s="17"/>
      <c r="I46" s="18"/>
      <c r="P46" s="8"/>
      <c r="R46">
        <v>5189.82</v>
      </c>
    </row>
    <row r="47" spans="1:24" x14ac:dyDescent="0.25">
      <c r="A47" s="6" t="s">
        <v>51</v>
      </c>
      <c r="B47" s="10">
        <f t="shared" si="50"/>
        <v>70</v>
      </c>
      <c r="C47" s="9">
        <f>C45*C46</f>
        <v>7.7777777777777779E-2</v>
      </c>
      <c r="H47" s="19" t="s">
        <v>45</v>
      </c>
      <c r="I47" s="20">
        <f>SUM(I48:I50)</f>
        <v>0.4</v>
      </c>
      <c r="P47" s="8"/>
      <c r="Q47" s="8">
        <v>0.11</v>
      </c>
      <c r="R47">
        <f>R46*Q47</f>
        <v>570.88019999999995</v>
      </c>
    </row>
    <row r="48" spans="1:24" x14ac:dyDescent="0.25">
      <c r="A48" s="6"/>
      <c r="B48" s="10"/>
      <c r="C48" s="8"/>
      <c r="H48" s="15" t="s">
        <v>40</v>
      </c>
      <c r="I48" s="16">
        <v>0.08</v>
      </c>
    </row>
    <row r="49" spans="1:20" x14ac:dyDescent="0.25">
      <c r="A49" t="s">
        <v>12</v>
      </c>
      <c r="B49" s="4">
        <v>150</v>
      </c>
      <c r="H49" s="15" t="s">
        <v>46</v>
      </c>
      <c r="I49" s="16">
        <v>0.04</v>
      </c>
      <c r="O49" t="s">
        <v>96</v>
      </c>
      <c r="R49">
        <v>10000</v>
      </c>
    </row>
    <row r="50" spans="1:20" x14ac:dyDescent="0.25">
      <c r="A50" t="s">
        <v>13</v>
      </c>
      <c r="B50" s="4">
        <v>150</v>
      </c>
      <c r="H50" s="15" t="s">
        <v>47</v>
      </c>
      <c r="I50" s="16">
        <v>0.28000000000000003</v>
      </c>
      <c r="O50" t="s">
        <v>98</v>
      </c>
      <c r="R50">
        <f>R49+R47</f>
        <v>10570.8802</v>
      </c>
      <c r="T50" t="s">
        <v>97</v>
      </c>
    </row>
    <row r="51" spans="1:20" x14ac:dyDescent="0.25">
      <c r="A51" s="6"/>
      <c r="B51" s="10"/>
      <c r="H51" s="17"/>
      <c r="I51" s="18"/>
      <c r="S51" s="8"/>
    </row>
    <row r="52" spans="1:20" x14ac:dyDescent="0.25">
      <c r="A52" s="6" t="s">
        <v>53</v>
      </c>
      <c r="B52" s="10">
        <f>C52*B38</f>
        <v>-72</v>
      </c>
      <c r="C52" s="8">
        <v>-0.06</v>
      </c>
      <c r="H52" s="19" t="s">
        <v>48</v>
      </c>
      <c r="I52" s="20">
        <f>I47*I42</f>
        <v>7.7777777777777779E-2</v>
      </c>
      <c r="S52" s="9"/>
    </row>
    <row r="53" spans="1:20" x14ac:dyDescent="0.25">
      <c r="A53" t="s">
        <v>54</v>
      </c>
      <c r="B53" s="10">
        <f>C53*B44</f>
        <v>-54</v>
      </c>
      <c r="C53" s="8">
        <v>-0.06</v>
      </c>
      <c r="H53" s="17"/>
      <c r="I53" s="18"/>
    </row>
    <row r="54" spans="1:20" ht="16.5" thickBot="1" x14ac:dyDescent="0.3">
      <c r="A54" s="6"/>
      <c r="B54" s="10"/>
      <c r="H54" s="21" t="s">
        <v>49</v>
      </c>
      <c r="I54" s="22">
        <f>I52+I47+I42</f>
        <v>0.67222222222222228</v>
      </c>
    </row>
    <row r="55" spans="1:20" x14ac:dyDescent="0.25">
      <c r="A55" s="6" t="s">
        <v>63</v>
      </c>
      <c r="B55" s="10">
        <f>(10000+R47)*(1+I55)</f>
        <v>20583.85283388889</v>
      </c>
      <c r="H55" s="25"/>
      <c r="I55" s="26">
        <f>I54+27.5%</f>
        <v>0.9472222222222223</v>
      </c>
    </row>
    <row r="56" spans="1:20" x14ac:dyDescent="0.25">
      <c r="A56" s="6" t="s">
        <v>89</v>
      </c>
      <c r="B56" s="10"/>
      <c r="C56" s="8">
        <v>0.3</v>
      </c>
      <c r="H56" s="25"/>
      <c r="I56" s="26"/>
    </row>
    <row r="57" spans="1:20" x14ac:dyDescent="0.25">
      <c r="A57" s="6"/>
      <c r="B57" s="10"/>
      <c r="H57" s="25"/>
      <c r="I57" s="26"/>
    </row>
    <row r="58" spans="1:20" x14ac:dyDescent="0.25">
      <c r="A58" s="1" t="s">
        <v>55</v>
      </c>
      <c r="B58" s="10">
        <f>SUM(B38:B55)</f>
        <v>24269.519500555558</v>
      </c>
    </row>
    <row r="60" spans="1:20" x14ac:dyDescent="0.25">
      <c r="A60" s="1" t="s">
        <v>10</v>
      </c>
    </row>
    <row r="61" spans="1:20" x14ac:dyDescent="0.25">
      <c r="A61" t="s">
        <v>3</v>
      </c>
      <c r="B61" s="4">
        <v>1000</v>
      </c>
    </row>
    <row r="62" spans="1:20" x14ac:dyDescent="0.25">
      <c r="A62" t="s">
        <v>4</v>
      </c>
      <c r="B62" s="4">
        <v>180</v>
      </c>
    </row>
    <row r="63" spans="1:20" x14ac:dyDescent="0.25">
      <c r="A63" t="s">
        <v>5</v>
      </c>
      <c r="B63" s="4">
        <v>300</v>
      </c>
    </row>
    <row r="64" spans="1:20" x14ac:dyDescent="0.25">
      <c r="A64" t="s">
        <v>6</v>
      </c>
      <c r="B64" s="4">
        <v>950</v>
      </c>
    </row>
    <row r="65" spans="1:2" x14ac:dyDescent="0.25">
      <c r="A65" t="s">
        <v>7</v>
      </c>
      <c r="B65" s="4">
        <v>500</v>
      </c>
    </row>
    <row r="66" spans="1:2" x14ac:dyDescent="0.25">
      <c r="A66" t="s">
        <v>8</v>
      </c>
      <c r="B66" s="4">
        <f>20</f>
        <v>20</v>
      </c>
    </row>
    <row r="67" spans="1:2" x14ac:dyDescent="0.25">
      <c r="A67" t="s">
        <v>9</v>
      </c>
      <c r="B67" s="4">
        <v>40</v>
      </c>
    </row>
    <row r="68" spans="1:2" x14ac:dyDescent="0.25">
      <c r="B68" s="4"/>
    </row>
    <row r="69" spans="1:2" x14ac:dyDescent="0.25">
      <c r="B69" s="4"/>
    </row>
    <row r="70" spans="1:2" x14ac:dyDescent="0.25">
      <c r="A70" t="s">
        <v>8</v>
      </c>
      <c r="B70" s="4">
        <v>240</v>
      </c>
    </row>
    <row r="71" spans="1:2" x14ac:dyDescent="0.25">
      <c r="A71" t="s">
        <v>9</v>
      </c>
      <c r="B71" s="4">
        <v>480</v>
      </c>
    </row>
    <row r="72" spans="1:2" x14ac:dyDescent="0.25">
      <c r="B72" s="4"/>
    </row>
    <row r="73" spans="1:2" x14ac:dyDescent="0.25">
      <c r="B73" s="5"/>
    </row>
    <row r="74" spans="1:2" x14ac:dyDescent="0.25">
      <c r="A74" s="1" t="s">
        <v>55</v>
      </c>
      <c r="B74" s="4">
        <f>SUM(B61:B67)</f>
        <v>2990</v>
      </c>
    </row>
  </sheetData>
  <pageMargins left="0.75" right="0.75" top="1" bottom="1" header="0.5" footer="0.5"/>
  <pageSetup paperSize="9" orientation="portrait" horizontalDpi="4294967292" verticalDpi="4294967292"/>
  <ignoredErrors>
    <ignoredError sqref="E5 H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Faturamento</vt:lpstr>
      <vt:lpstr>Impostos</vt:lpstr>
      <vt:lpstr>Insumos</vt:lpstr>
      <vt:lpstr>Pessoal</vt:lpstr>
      <vt:lpstr>Despesas</vt:lpstr>
      <vt:lpstr>Caixa</vt:lpstr>
      <vt:lpstr>Precificação</vt:lpstr>
      <vt:lpstr>Desenvolvedor</vt:lpstr>
      <vt:lpstr>Procedimentos</vt:lpstr>
      <vt:lpstr>Caixa!Area_de_impressao</vt:lpstr>
      <vt:lpstr>Despesas!Area_de_impressao</vt:lpstr>
      <vt:lpstr>Faturamento!Area_de_impressao</vt:lpstr>
      <vt:lpstr>Impostos!Area_de_impressao</vt:lpstr>
      <vt:lpstr>Pessoal!Area_de_impressao</vt:lpstr>
      <vt:lpstr>Precificação!Area_de_impressao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Marco Túlio Machado</cp:lastModifiedBy>
  <cp:lastPrinted>2017-08-05T21:59:31Z</cp:lastPrinted>
  <dcterms:created xsi:type="dcterms:W3CDTF">2016-02-10T20:38:00Z</dcterms:created>
  <dcterms:modified xsi:type="dcterms:W3CDTF">2018-02-26T21:25:33Z</dcterms:modified>
</cp:coreProperties>
</file>